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1.xml" ContentType="application/inkml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tricecongard/Library/Mobile Documents/com~apple~CloudDocs/Desktop - patrice’s MacBook Air/Prices and dim tool/"/>
    </mc:Choice>
  </mc:AlternateContent>
  <xr:revisionPtr revIDLastSave="0" documentId="13_ncr:1_{3CD00C1A-49BC-814D-8F1B-6193EA994770}" xr6:coauthVersionLast="47" xr6:coauthVersionMax="47" xr10:uidLastSave="{00000000-0000-0000-0000-000000000000}"/>
  <bookViews>
    <workbookView xWindow="0" yWindow="500" windowWidth="28800" windowHeight="15800" tabRatio="685" firstSheet="5" activeTab="11" xr2:uid="{00000000-000D-0000-FFFF-FFFF00000000}"/>
  </bookViews>
  <sheets>
    <sheet name="START" sheetId="9" r:id="rId1"/>
    <sheet name="Guide" sheetId="33" r:id="rId2"/>
    <sheet name="Diag.convert." sheetId="32" r:id="rId3"/>
    <sheet name="Discovery" sheetId="31" r:id="rId4"/>
    <sheet name="FullScreen" sheetId="20" r:id="rId5"/>
    <sheet name="Slim" sheetId="4" r:id="rId6"/>
    <sheet name="Elegance" sheetId="14" r:id="rId7"/>
    <sheet name="Reference" sheetId="3" r:id="rId8"/>
    <sheet name="VistaCurve" sheetId="7" r:id="rId9"/>
    <sheet name="RTS" sheetId="13" r:id="rId10"/>
    <sheet name="RST XL" sheetId="29" state="hidden" r:id="rId11"/>
    <sheet name="RTS In Ceiling" sheetId="18" r:id="rId12"/>
    <sheet name="MediaTime" sheetId="26" r:id="rId13"/>
    <sheet name="MFR WS" sheetId="34" r:id="rId14"/>
    <sheet name="MFR HD" sheetId="22" r:id="rId15"/>
    <sheet name="MFR HD Reverse Mask" sheetId="27" state="hidden" r:id="rId16"/>
    <sheet name="TAM 1" sheetId="10" r:id="rId17"/>
    <sheet name="TAM TB" sheetId="2" r:id="rId18"/>
    <sheet name="TAM2-L" sheetId="11" r:id="rId19"/>
    <sheet name="TAM Art Edition" sheetId="28" r:id="rId20"/>
    <sheet name="TAM FC" sheetId="8" r:id="rId21"/>
    <sheet name="Absolute" sheetId="5" r:id="rId22"/>
    <sheet name="TAM-4" sheetId="19" r:id="rId23"/>
  </sheets>
  <definedNames>
    <definedName name="_xlnm.Print_Area" localSheetId="21">Absolute!$B$2:$L$72</definedName>
    <definedName name="_xlnm.Print_Area" localSheetId="6">Elegance!$B$1:$L$62</definedName>
    <definedName name="_xlnm.Print_Area" localSheetId="4">FullScreen!$B$1:$L$63</definedName>
    <definedName name="_xlnm.Print_Area" localSheetId="12">MediaTime!$B$2:$M$79</definedName>
    <definedName name="_xlnm.Print_Area" localSheetId="14">'MFR HD'!$B$1:$M$67</definedName>
    <definedName name="_xlnm.Print_Area" localSheetId="15">'MFR HD Reverse Mask'!$A$1:$L$65</definedName>
    <definedName name="_xlnm.Print_Area" localSheetId="7">Reference!$B$1:$M$98</definedName>
    <definedName name="_xlnm.Print_Area" localSheetId="10">'RST XL'!$A$1:$L$59</definedName>
    <definedName name="_xlnm.Print_Area" localSheetId="9">RTS!$B$2:$M$71</definedName>
    <definedName name="_xlnm.Print_Area" localSheetId="11">'RTS In Ceiling'!$B$1:$M$94</definedName>
    <definedName name="_xlnm.Print_Area" localSheetId="5">Slim!$B$1:$L$63</definedName>
    <definedName name="_xlnm.Print_Area" localSheetId="16">'TAM 1'!$B$2:$M$71</definedName>
    <definedName name="_xlnm.Print_Area" localSheetId="19">'TAM Art Edition'!$B$2:$M$76</definedName>
    <definedName name="_xlnm.Print_Area" localSheetId="20">'TAM FC'!$B$2:$L$62</definedName>
    <definedName name="_xlnm.Print_Area" localSheetId="17">'TAM TB'!$B$2:$M$68</definedName>
    <definedName name="_xlnm.Print_Area" localSheetId="22">'TAM-4'!$B$2:$M$59</definedName>
    <definedName name="_xlnm.Print_Area" localSheetId="18">'TAM2-L'!$B$1:$N$66</definedName>
    <definedName name="_xlnm.Print_Area" localSheetId="8">VistaCurve!$B$2:$L$79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8" l="1"/>
  <c r="F3" i="11"/>
  <c r="H47" i="19"/>
  <c r="H51" i="28"/>
  <c r="H50" i="11"/>
  <c r="F44" i="34"/>
  <c r="C38" i="34"/>
  <c r="F37" i="34"/>
  <c r="F31" i="34" s="1"/>
  <c r="F34" i="34"/>
  <c r="D52" i="34" s="1"/>
  <c r="D34" i="34"/>
  <c r="C34" i="34" s="1"/>
  <c r="C33" i="34"/>
  <c r="D55" i="34" s="1"/>
  <c r="I32" i="34"/>
  <c r="F26" i="34"/>
  <c r="A11" i="34"/>
  <c r="K8" i="34"/>
  <c r="L6" i="34"/>
  <c r="B3" i="34"/>
  <c r="H52" i="7"/>
  <c r="H51" i="7"/>
  <c r="H47" i="3"/>
  <c r="H46" i="3"/>
  <c r="H45" i="3"/>
  <c r="H44" i="3"/>
  <c r="H47" i="4"/>
  <c r="H46" i="4"/>
  <c r="D21" i="34" l="1"/>
  <c r="M18" i="34" s="1"/>
  <c r="F6" i="34"/>
  <c r="D35" i="34"/>
  <c r="C35" i="34" s="1"/>
  <c r="D36" i="34"/>
  <c r="K18" i="34" s="1"/>
  <c r="D37" i="34"/>
  <c r="C37" i="34" s="1"/>
  <c r="F17" i="34"/>
  <c r="D51" i="34"/>
  <c r="E8" i="32"/>
  <c r="H8" i="32"/>
  <c r="F12" i="32"/>
  <c r="G12" i="32" s="1"/>
  <c r="H12" i="32" s="1"/>
  <c r="F10" i="32"/>
  <c r="G10" i="32" s="1"/>
  <c r="H10" i="32" s="1"/>
  <c r="F8" i="32"/>
  <c r="F6" i="32"/>
  <c r="G6" i="32" s="1"/>
  <c r="H6" i="32" s="1"/>
  <c r="F4" i="32"/>
  <c r="G4" i="32" s="1"/>
  <c r="H4" i="32" s="1"/>
  <c r="D12" i="32"/>
  <c r="E12" i="32" s="1"/>
  <c r="D10" i="32"/>
  <c r="E10" i="32" s="1"/>
  <c r="D8" i="32"/>
  <c r="G8" i="32"/>
  <c r="D6" i="32"/>
  <c r="E6" i="32" s="1"/>
  <c r="D4" i="32"/>
  <c r="E4" i="32" s="1"/>
  <c r="C36" i="34" l="1"/>
  <c r="F21" i="34"/>
  <c r="G3" i="11"/>
  <c r="F36" i="13"/>
  <c r="F32" i="13" s="1"/>
  <c r="C31" i="3"/>
  <c r="F35" i="4"/>
  <c r="F34" i="26"/>
  <c r="F42" i="14"/>
  <c r="F41" i="14"/>
  <c r="C34" i="14"/>
  <c r="D31" i="14"/>
  <c r="C31" i="14" s="1"/>
  <c r="D30" i="14"/>
  <c r="D32" i="14" s="1"/>
  <c r="C29" i="14"/>
  <c r="D56" i="14" s="1"/>
  <c r="I28" i="14"/>
  <c r="L25" i="14"/>
  <c r="L26" i="14" s="1"/>
  <c r="F5" i="14"/>
  <c r="F6" i="14" s="1"/>
  <c r="D32" i="3"/>
  <c r="E11" i="14" l="1"/>
  <c r="E12" i="14" s="1"/>
  <c r="F26" i="14"/>
  <c r="F27" i="14" s="1"/>
  <c r="K13" i="14"/>
  <c r="K14" i="14" s="1"/>
  <c r="C32" i="14"/>
  <c r="D33" i="14"/>
  <c r="B2" i="14"/>
  <c r="C30" i="14"/>
  <c r="D52" i="14"/>
  <c r="D53" i="14"/>
  <c r="F30" i="28"/>
  <c r="F31" i="5"/>
  <c r="F30" i="8"/>
  <c r="C32" i="10"/>
  <c r="F37" i="10" s="1"/>
  <c r="D34" i="10" s="1"/>
  <c r="F35" i="2"/>
  <c r="F27" i="11"/>
  <c r="D25" i="11" s="1"/>
  <c r="G3" i="3"/>
  <c r="C33" i="14" l="1"/>
  <c r="G14" i="14"/>
  <c r="G15" i="14" s="1"/>
  <c r="F36" i="10"/>
  <c r="D38" i="10"/>
  <c r="D35" i="26"/>
  <c r="D35" i="31" l="1"/>
  <c r="C35" i="31" s="1"/>
  <c r="D32" i="31"/>
  <c r="C32" i="31" s="1"/>
  <c r="D31" i="31"/>
  <c r="D33" i="31" s="1"/>
  <c r="C30" i="31"/>
  <c r="D54" i="31" s="1"/>
  <c r="I29" i="31"/>
  <c r="F5" i="31"/>
  <c r="F6" i="31" l="1"/>
  <c r="G3" i="31"/>
  <c r="L25" i="31"/>
  <c r="L26" i="31" s="1"/>
  <c r="E11" i="31"/>
  <c r="E12" i="31" s="1"/>
  <c r="D34" i="31"/>
  <c r="C34" i="31" s="1"/>
  <c r="C31" i="31"/>
  <c r="K13" i="31"/>
  <c r="K14" i="31" s="1"/>
  <c r="C33" i="31"/>
  <c r="B2" i="31"/>
  <c r="F26" i="31"/>
  <c r="F27" i="31" s="1"/>
  <c r="D50" i="31"/>
  <c r="D51" i="31"/>
  <c r="K28" i="29"/>
  <c r="E32" i="29"/>
  <c r="E27" i="29" s="1"/>
  <c r="E35" i="29" s="1"/>
  <c r="C49" i="29"/>
  <c r="E42" i="29"/>
  <c r="E41" i="29"/>
  <c r="C32" i="29"/>
  <c r="C35" i="29" s="1"/>
  <c r="B35" i="29" s="1"/>
  <c r="B31" i="29"/>
  <c r="C53" i="29" s="1"/>
  <c r="H30" i="29"/>
  <c r="A25" i="29"/>
  <c r="E14" i="29"/>
  <c r="E15" i="29" s="1"/>
  <c r="A8" i="29"/>
  <c r="A9" i="29" s="1"/>
  <c r="E4" i="29"/>
  <c r="F4" i="29" s="1"/>
  <c r="E21" i="29" l="1"/>
  <c r="B32" i="29"/>
  <c r="G14" i="31"/>
  <c r="G15" i="31" s="1"/>
  <c r="C36" i="29"/>
  <c r="B36" i="29" s="1"/>
  <c r="A2" i="29"/>
  <c r="F32" i="29"/>
  <c r="J6" i="29" s="1"/>
  <c r="J7" i="29" s="1"/>
  <c r="C33" i="29"/>
  <c r="B33" i="29" s="1"/>
  <c r="C50" i="29"/>
  <c r="F27" i="29"/>
  <c r="G17" i="29"/>
  <c r="G18" i="29" s="1"/>
  <c r="E22" i="29" l="1"/>
  <c r="L15" i="29"/>
  <c r="L16" i="29" s="1"/>
  <c r="K3" i="29"/>
  <c r="K4" i="29" s="1"/>
  <c r="C34" i="29"/>
  <c r="J15" i="29" s="1"/>
  <c r="J16" i="29" s="1"/>
  <c r="B34" i="29" l="1"/>
  <c r="G5" i="5"/>
  <c r="H50" i="28" l="1"/>
  <c r="C41" i="28"/>
  <c r="D28" i="28"/>
  <c r="D27" i="28"/>
  <c r="C26" i="28"/>
  <c r="D31" i="28" s="1"/>
  <c r="I25" i="28"/>
  <c r="F6" i="28"/>
  <c r="D29" i="28" l="1"/>
  <c r="D68" i="28" s="1"/>
  <c r="B14" i="28"/>
  <c r="D70" i="28"/>
  <c r="F22" i="28"/>
  <c r="D67" i="28"/>
  <c r="D30" i="28"/>
  <c r="B4" i="28"/>
  <c r="C27" i="28"/>
  <c r="D43" i="28"/>
  <c r="E43" i="28" s="1"/>
  <c r="G43" i="28" s="1"/>
  <c r="D44" i="28"/>
  <c r="E44" i="28" s="1"/>
  <c r="G44" i="28" s="1"/>
  <c r="D41" i="28"/>
  <c r="E41" i="28" s="1"/>
  <c r="F41" i="28" s="1"/>
  <c r="D45" i="28"/>
  <c r="E45" i="28" s="1"/>
  <c r="G45" i="28" s="1"/>
  <c r="F28" i="28"/>
  <c r="G19" i="28" s="1"/>
  <c r="D42" i="28"/>
  <c r="C28" i="28"/>
  <c r="C29" i="28" l="1"/>
  <c r="K14" i="28"/>
  <c r="G15" i="28"/>
  <c r="E17" i="28"/>
  <c r="E42" i="28"/>
  <c r="G42" i="28" s="1"/>
  <c r="C30" i="28"/>
  <c r="F44" i="28"/>
  <c r="F45" i="28"/>
  <c r="F43" i="28"/>
  <c r="G41" i="28"/>
  <c r="L22" i="28"/>
  <c r="C31" i="28"/>
  <c r="F42" i="28" l="1"/>
  <c r="E43" i="27" l="1"/>
  <c r="B38" i="27"/>
  <c r="E37" i="27"/>
  <c r="E31" i="27" s="1"/>
  <c r="F31" i="27" s="1"/>
  <c r="E34" i="27"/>
  <c r="C50" i="27" s="1"/>
  <c r="C34" i="27"/>
  <c r="B33" i="27"/>
  <c r="C53" i="27" s="1"/>
  <c r="H32" i="27"/>
  <c r="A26" i="27"/>
  <c r="E23" i="27"/>
  <c r="E24" i="27" s="1"/>
  <c r="A8" i="27"/>
  <c r="A9" i="27" s="1"/>
  <c r="J6" i="27"/>
  <c r="J7" i="27" s="1"/>
  <c r="K3" i="27"/>
  <c r="K4" i="27" s="1"/>
  <c r="E4" i="27" l="1"/>
  <c r="F4" i="27" s="1"/>
  <c r="C36" i="27"/>
  <c r="B36" i="27" s="1"/>
  <c r="C37" i="27"/>
  <c r="F18" i="27" s="1"/>
  <c r="F19" i="27" s="1"/>
  <c r="C18" i="27"/>
  <c r="C19" i="27" s="1"/>
  <c r="B34" i="27"/>
  <c r="C35" i="27"/>
  <c r="B35" i="27" s="1"/>
  <c r="C49" i="27"/>
  <c r="A2" i="27"/>
  <c r="D32" i="4"/>
  <c r="J15" i="27" l="1"/>
  <c r="J16" i="27" s="1"/>
  <c r="L15" i="27"/>
  <c r="J28" i="27" s="1"/>
  <c r="J29" i="27" s="1"/>
  <c r="B37" i="27"/>
  <c r="L16" i="27" l="1"/>
  <c r="A29" i="27"/>
  <c r="D36" i="3"/>
  <c r="D60" i="26" l="1"/>
  <c r="D58" i="18"/>
  <c r="D61" i="13"/>
  <c r="D59" i="7"/>
  <c r="F43" i="5" l="1"/>
  <c r="C41" i="8"/>
  <c r="C38" i="11"/>
  <c r="C46" i="2"/>
  <c r="C48" i="10"/>
  <c r="H43" i="3"/>
  <c r="H42" i="3"/>
  <c r="H41" i="3"/>
  <c r="H40" i="3"/>
  <c r="D29" i="5" l="1"/>
  <c r="C29" i="5" s="1"/>
  <c r="F19" i="11"/>
  <c r="F20" i="11" s="1"/>
  <c r="D36" i="13"/>
  <c r="D38" i="13" s="1"/>
  <c r="B12" i="13"/>
  <c r="D34" i="20"/>
  <c r="C34" i="20" s="1"/>
  <c r="D31" i="2"/>
  <c r="E15" i="2" s="1"/>
  <c r="D32" i="2"/>
  <c r="D63" i="2" s="1"/>
  <c r="D36" i="2"/>
  <c r="C36" i="2" s="1"/>
  <c r="F37" i="26"/>
  <c r="F31" i="26" s="1"/>
  <c r="F49" i="26"/>
  <c r="F48" i="26"/>
  <c r="C38" i="26"/>
  <c r="D34" i="26"/>
  <c r="B10" i="26"/>
  <c r="C33" i="26"/>
  <c r="I32" i="26"/>
  <c r="F29" i="26"/>
  <c r="L5" i="26"/>
  <c r="F33" i="22"/>
  <c r="D52" i="22" s="1"/>
  <c r="F44" i="22"/>
  <c r="C37" i="22"/>
  <c r="F36" i="22"/>
  <c r="F30" i="22" s="1"/>
  <c r="D33" i="22"/>
  <c r="D36" i="22" s="1"/>
  <c r="C36" i="22" s="1"/>
  <c r="K7" i="22"/>
  <c r="B10" i="22"/>
  <c r="C32" i="22"/>
  <c r="I31" i="22"/>
  <c r="F25" i="22"/>
  <c r="I20" i="22"/>
  <c r="L5" i="22"/>
  <c r="C33" i="7"/>
  <c r="D38" i="7" s="1"/>
  <c r="M29" i="7" s="1"/>
  <c r="C35" i="13"/>
  <c r="E4" i="13" s="1"/>
  <c r="C27" i="5"/>
  <c r="D72" i="5" s="1"/>
  <c r="D30" i="20"/>
  <c r="D28" i="5"/>
  <c r="B14" i="5" s="1"/>
  <c r="D27" i="8"/>
  <c r="D34" i="7"/>
  <c r="F32" i="7" s="1"/>
  <c r="D28" i="8"/>
  <c r="D59" i="8" s="1"/>
  <c r="D24" i="11"/>
  <c r="H48" i="11"/>
  <c r="H57" i="10"/>
  <c r="D31" i="20"/>
  <c r="F26" i="20" s="1"/>
  <c r="F42" i="20"/>
  <c r="F41" i="20"/>
  <c r="C29" i="20"/>
  <c r="D61" i="20" s="1"/>
  <c r="I28" i="20"/>
  <c r="F5" i="8"/>
  <c r="D32" i="19"/>
  <c r="F30" i="19" s="1"/>
  <c r="D33" i="19"/>
  <c r="D56" i="19" s="1"/>
  <c r="L27" i="19"/>
  <c r="H46" i="19"/>
  <c r="G4" i="19"/>
  <c r="C36" i="19"/>
  <c r="C31" i="19"/>
  <c r="I30" i="19"/>
  <c r="C34" i="18"/>
  <c r="F35" i="18"/>
  <c r="F50" i="18"/>
  <c r="F49" i="18"/>
  <c r="C39" i="18"/>
  <c r="D35" i="18"/>
  <c r="K8" i="18"/>
  <c r="B12" i="18"/>
  <c r="I33" i="18"/>
  <c r="L5" i="18"/>
  <c r="H49" i="11"/>
  <c r="H47" i="11"/>
  <c r="H55" i="2"/>
  <c r="H53" i="2"/>
  <c r="H56" i="10"/>
  <c r="D33" i="10"/>
  <c r="D33" i="4"/>
  <c r="C33" i="4" s="1"/>
  <c r="F14" i="10"/>
  <c r="F10" i="2"/>
  <c r="F47" i="4"/>
  <c r="F46" i="4"/>
  <c r="F52" i="7"/>
  <c r="F51" i="7"/>
  <c r="F53" i="13"/>
  <c r="F52" i="13"/>
  <c r="F58" i="5"/>
  <c r="F49" i="8"/>
  <c r="L8" i="13"/>
  <c r="M11" i="13"/>
  <c r="C40" i="13"/>
  <c r="I34" i="13"/>
  <c r="F15" i="13"/>
  <c r="D33" i="3"/>
  <c r="F27" i="3" s="1"/>
  <c r="C31" i="4"/>
  <c r="I30" i="3"/>
  <c r="G5" i="11"/>
  <c r="C23" i="11"/>
  <c r="I22" i="11"/>
  <c r="L28" i="10"/>
  <c r="C38" i="10"/>
  <c r="F34" i="10"/>
  <c r="I18" i="10" s="1"/>
  <c r="I31" i="10"/>
  <c r="L21" i="8"/>
  <c r="C31" i="8"/>
  <c r="C26" i="8"/>
  <c r="I25" i="8"/>
  <c r="I30" i="4"/>
  <c r="I32" i="7"/>
  <c r="I26" i="5"/>
  <c r="I29" i="2"/>
  <c r="D35" i="7"/>
  <c r="F29" i="7" s="1"/>
  <c r="F8" i="7"/>
  <c r="C30" i="2"/>
  <c r="F34" i="2" s="1"/>
  <c r="C36" i="4"/>
  <c r="L27" i="4"/>
  <c r="L28" i="4" s="1"/>
  <c r="F7" i="4"/>
  <c r="C36" i="3"/>
  <c r="L26" i="3"/>
  <c r="F32" i="2"/>
  <c r="I14" i="2" s="1"/>
  <c r="D69" i="5"/>
  <c r="D34" i="3"/>
  <c r="C34" i="3" s="1"/>
  <c r="D20" i="22"/>
  <c r="D35" i="22"/>
  <c r="K17" i="22" s="1"/>
  <c r="C33" i="22"/>
  <c r="G43" i="5"/>
  <c r="H43" i="5" s="1"/>
  <c r="I43" i="5" s="1"/>
  <c r="B4" i="5"/>
  <c r="D35" i="3"/>
  <c r="C35" i="3" s="1"/>
  <c r="E12" i="3"/>
  <c r="C32" i="3"/>
  <c r="D34" i="22"/>
  <c r="C34" i="22" s="1"/>
  <c r="B20" i="18" l="1"/>
  <c r="D37" i="18"/>
  <c r="D37" i="26"/>
  <c r="C37" i="26" s="1"/>
  <c r="D36" i="26"/>
  <c r="D30" i="5"/>
  <c r="D70" i="5" s="1"/>
  <c r="F25" i="8"/>
  <c r="B13" i="8"/>
  <c r="E44" i="8"/>
  <c r="D34" i="2"/>
  <c r="G15" i="2" s="1"/>
  <c r="B20" i="13"/>
  <c r="M23" i="13" s="1"/>
  <c r="F8" i="4"/>
  <c r="F4" i="4"/>
  <c r="D28" i="11"/>
  <c r="B2" i="11"/>
  <c r="D31" i="5"/>
  <c r="G15" i="5" s="1"/>
  <c r="G44" i="5"/>
  <c r="H44" i="5" s="1"/>
  <c r="I44" i="5" s="1"/>
  <c r="D36" i="7"/>
  <c r="C36" i="7" s="1"/>
  <c r="D37" i="7"/>
  <c r="G18" i="7" s="1"/>
  <c r="D36" i="10"/>
  <c r="C36" i="10" s="1"/>
  <c r="D35" i="10"/>
  <c r="D67" i="10" s="1"/>
  <c r="G45" i="5"/>
  <c r="H45" i="5" s="1"/>
  <c r="I45" i="5" s="1"/>
  <c r="C28" i="5"/>
  <c r="C32" i="19"/>
  <c r="D63" i="11"/>
  <c r="D42" i="8"/>
  <c r="F42" i="8" s="1"/>
  <c r="D30" i="8"/>
  <c r="C30" i="8" s="1"/>
  <c r="D41" i="8"/>
  <c r="F41" i="8" s="1"/>
  <c r="D32" i="5"/>
  <c r="D71" i="5" s="1"/>
  <c r="B15" i="19"/>
  <c r="G24" i="5"/>
  <c r="C34" i="7"/>
  <c r="D61" i="26"/>
  <c r="M8" i="26"/>
  <c r="F20" i="22"/>
  <c r="C33" i="19"/>
  <c r="M17" i="22"/>
  <c r="F25" i="11"/>
  <c r="G15" i="11" s="1"/>
  <c r="G16" i="11" s="1"/>
  <c r="D39" i="11"/>
  <c r="E39" i="11" s="1"/>
  <c r="D34" i="4"/>
  <c r="C34" i="4" s="1"/>
  <c r="F22" i="8"/>
  <c r="D65" i="13"/>
  <c r="B4" i="8"/>
  <c r="D62" i="8"/>
  <c r="B3" i="7"/>
  <c r="D63" i="7"/>
  <c r="D60" i="7"/>
  <c r="F8" i="13"/>
  <c r="D62" i="13"/>
  <c r="B2" i="22"/>
  <c r="D55" i="22"/>
  <c r="D51" i="22"/>
  <c r="D35" i="4"/>
  <c r="G16" i="4" s="1"/>
  <c r="G17" i="4" s="1"/>
  <c r="B2" i="4"/>
  <c r="D57" i="4"/>
  <c r="D61" i="4"/>
  <c r="D65" i="3"/>
  <c r="D61" i="3"/>
  <c r="D57" i="20"/>
  <c r="B3" i="2"/>
  <c r="D66" i="2"/>
  <c r="B3" i="19"/>
  <c r="D59" i="19"/>
  <c r="F28" i="19"/>
  <c r="B3" i="10"/>
  <c r="D69" i="10"/>
  <c r="F29" i="10"/>
  <c r="D66" i="10"/>
  <c r="B3" i="26"/>
  <c r="D64" i="26"/>
  <c r="D36" i="18"/>
  <c r="F38" i="18" s="1"/>
  <c r="D59" i="18"/>
  <c r="B2" i="18"/>
  <c r="D62" i="18"/>
  <c r="B2" i="3"/>
  <c r="D62" i="3"/>
  <c r="B2" i="20"/>
  <c r="F26" i="5"/>
  <c r="E17" i="10"/>
  <c r="E48" i="10"/>
  <c r="D48" i="10" s="1"/>
  <c r="F48" i="10" s="1"/>
  <c r="G48" i="10" s="1"/>
  <c r="E49" i="10"/>
  <c r="D49" i="10" s="1"/>
  <c r="F49" i="10" s="1"/>
  <c r="G49" i="10" s="1"/>
  <c r="F5" i="22"/>
  <c r="D33" i="2"/>
  <c r="D64" i="2" s="1"/>
  <c r="C31" i="2"/>
  <c r="D62" i="2" s="1"/>
  <c r="F27" i="20"/>
  <c r="E50" i="10"/>
  <c r="D50" i="10" s="1"/>
  <c r="F50" i="10" s="1"/>
  <c r="G50" i="10" s="1"/>
  <c r="D33" i="20"/>
  <c r="G14" i="20" s="1"/>
  <c r="G15" i="20" s="1"/>
  <c r="C31" i="20"/>
  <c r="L25" i="20"/>
  <c r="L26" i="20" s="1"/>
  <c r="C33" i="10"/>
  <c r="D65" i="10" s="1"/>
  <c r="D38" i="18"/>
  <c r="C38" i="18" s="1"/>
  <c r="D37" i="13"/>
  <c r="A15" i="7"/>
  <c r="F6" i="18"/>
  <c r="L27" i="2"/>
  <c r="D44" i="8"/>
  <c r="F44" i="8" s="1"/>
  <c r="H44" i="8" s="1"/>
  <c r="E41" i="8"/>
  <c r="C35" i="22"/>
  <c r="E43" i="8"/>
  <c r="E13" i="4"/>
  <c r="E14" i="4" s="1"/>
  <c r="C28" i="8"/>
  <c r="C27" i="8"/>
  <c r="D29" i="8"/>
  <c r="C29" i="8" s="1"/>
  <c r="D32" i="20"/>
  <c r="K13" i="20" s="1"/>
  <c r="K14" i="20" s="1"/>
  <c r="D35" i="19"/>
  <c r="G16" i="19" s="1"/>
  <c r="C30" i="20"/>
  <c r="D34" i="19"/>
  <c r="C35" i="7"/>
  <c r="C32" i="4"/>
  <c r="D43" i="8"/>
  <c r="F43" i="8" s="1"/>
  <c r="G46" i="5"/>
  <c r="H46" i="5" s="1"/>
  <c r="I46" i="5" s="1"/>
  <c r="F8" i="11"/>
  <c r="F9" i="11" s="1"/>
  <c r="D26" i="11"/>
  <c r="C24" i="11"/>
  <c r="D27" i="11"/>
  <c r="G11" i="11" s="1"/>
  <c r="G12" i="11" s="1"/>
  <c r="D42" i="11"/>
  <c r="E42" i="11" s="1"/>
  <c r="G42" i="11" s="1"/>
  <c r="D41" i="11"/>
  <c r="E41" i="11" s="1"/>
  <c r="F41" i="11" s="1"/>
  <c r="D40" i="11"/>
  <c r="E40" i="11" s="1"/>
  <c r="F40" i="11" s="1"/>
  <c r="D38" i="11"/>
  <c r="E38" i="11" s="1"/>
  <c r="F38" i="11" s="1"/>
  <c r="E11" i="20"/>
  <c r="E12" i="20" s="1"/>
  <c r="C33" i="3"/>
  <c r="F28" i="4"/>
  <c r="F5" i="26"/>
  <c r="C35" i="26"/>
  <c r="E42" i="8"/>
  <c r="C38" i="7"/>
  <c r="C34" i="10"/>
  <c r="M19" i="18"/>
  <c r="C35" i="18"/>
  <c r="C32" i="2"/>
  <c r="F27" i="2"/>
  <c r="E46" i="2"/>
  <c r="D46" i="2" s="1"/>
  <c r="F46" i="2" s="1"/>
  <c r="G46" i="2" s="1"/>
  <c r="E48" i="2"/>
  <c r="D48" i="2" s="1"/>
  <c r="F48" i="2" s="1"/>
  <c r="G48" i="2" s="1"/>
  <c r="E47" i="2"/>
  <c r="D47" i="2" s="1"/>
  <c r="F47" i="2" s="1"/>
  <c r="G47" i="2" s="1"/>
  <c r="C25" i="11"/>
  <c r="F39" i="13"/>
  <c r="C36" i="13"/>
  <c r="C38" i="13"/>
  <c r="D39" i="13"/>
  <c r="D18" i="26"/>
  <c r="C34" i="26"/>
  <c r="K14" i="3"/>
  <c r="G15" i="3"/>
  <c r="G19" i="26" l="1"/>
  <c r="C39" i="13"/>
  <c r="F23" i="13"/>
  <c r="C30" i="5"/>
  <c r="K14" i="5"/>
  <c r="C31" i="5"/>
  <c r="C34" i="2"/>
  <c r="L17" i="7"/>
  <c r="C37" i="7"/>
  <c r="F19" i="10"/>
  <c r="C35" i="10"/>
  <c r="D58" i="4"/>
  <c r="C32" i="5"/>
  <c r="L23" i="5"/>
  <c r="H41" i="8"/>
  <c r="D60" i="11"/>
  <c r="D61" i="11"/>
  <c r="H12" i="8"/>
  <c r="M19" i="11"/>
  <c r="M20" i="11" s="1"/>
  <c r="C28" i="11"/>
  <c r="C36" i="26"/>
  <c r="C36" i="18"/>
  <c r="K15" i="4"/>
  <c r="K16" i="4" s="1"/>
  <c r="G39" i="11"/>
  <c r="F39" i="11"/>
  <c r="D58" i="20"/>
  <c r="H43" i="8"/>
  <c r="G44" i="8"/>
  <c r="C33" i="2"/>
  <c r="C35" i="4"/>
  <c r="C26" i="11"/>
  <c r="L12" i="11"/>
  <c r="L13" i="11" s="1"/>
  <c r="D60" i="8"/>
  <c r="K16" i="10"/>
  <c r="C35" i="19"/>
  <c r="G41" i="8"/>
  <c r="G41" i="11"/>
  <c r="C37" i="13"/>
  <c r="G21" i="18"/>
  <c r="G40" i="11"/>
  <c r="C33" i="20"/>
  <c r="G43" i="8"/>
  <c r="K14" i="2"/>
  <c r="D57" i="19"/>
  <c r="K15" i="19"/>
  <c r="C34" i="19"/>
  <c r="K13" i="8"/>
  <c r="C32" i="20"/>
  <c r="F42" i="11"/>
  <c r="C27" i="11"/>
  <c r="G38" i="11"/>
  <c r="F29" i="4"/>
  <c r="H42" i="8"/>
  <c r="G42" i="8"/>
  <c r="C37" i="18"/>
  <c r="K19" i="18"/>
  <c r="K21" i="13"/>
  <c r="K16" i="26" l="1"/>
</calcChain>
</file>

<file path=xl/sharedStrings.xml><?xml version="1.0" encoding="utf-8"?>
<sst xmlns="http://schemas.openxmlformats.org/spreadsheetml/2006/main" count="1427" uniqueCount="318">
  <si>
    <r>
      <t xml:space="preserve">If you need even larger screen or have any questions, please contact </t>
    </r>
    <r>
      <rPr>
        <i/>
        <sz val="14"/>
        <color theme="1"/>
        <rFont val="Lato Regular"/>
      </rPr>
      <t>sales@screenexcellence.com</t>
    </r>
  </si>
  <si>
    <t>Tip: You can include the PDF print copy of your dimension to your order!</t>
  </si>
  <si>
    <t>Discovery Screen</t>
  </si>
  <si>
    <t>Inches</t>
  </si>
  <si>
    <t>mm</t>
  </si>
  <si>
    <t>Fabric</t>
  </si>
  <si>
    <t>Date:</t>
  </si>
  <si>
    <t>Image W</t>
  </si>
  <si>
    <t>Native AR</t>
  </si>
  <si>
    <t>Customer:</t>
  </si>
  <si>
    <t>Image H</t>
  </si>
  <si>
    <t>Closed AR</t>
  </si>
  <si>
    <t>NA</t>
  </si>
  <si>
    <t>Sign off:</t>
  </si>
  <si>
    <t>Ext W</t>
  </si>
  <si>
    <t>Close W</t>
  </si>
  <si>
    <t>Notes:</t>
  </si>
  <si>
    <t>Picture Not to Scale</t>
  </si>
  <si>
    <t>Ext H</t>
  </si>
  <si>
    <t>Voltage</t>
  </si>
  <si>
    <t>Only standard sizes available. Please select from the drop-down menu attached to metric image width cell. 2 aspects ratios available</t>
  </si>
  <si>
    <t>Diagonal</t>
  </si>
  <si>
    <t>Frame W</t>
  </si>
  <si>
    <t>Depth</t>
  </si>
  <si>
    <t>mm to Inch</t>
  </si>
  <si>
    <t>Max Image width</t>
  </si>
  <si>
    <t>Surface</t>
  </si>
  <si>
    <t xml:space="preserve">AR </t>
  </si>
  <si>
    <t>Enlightor NEO</t>
  </si>
  <si>
    <t>HD</t>
  </si>
  <si>
    <t>1.78</t>
  </si>
  <si>
    <t>WS</t>
  </si>
  <si>
    <t>2.35-2.40</t>
  </si>
  <si>
    <t>Bracket Locations</t>
  </si>
  <si>
    <t>There are 2 brackets on the top  of the screen.</t>
  </si>
  <si>
    <t>The top Brackets are Z brackets that are movable to suit.</t>
  </si>
  <si>
    <t xml:space="preserve">Estimated Shipping Sizes &amp; Weights </t>
  </si>
  <si>
    <t>The screen is shipped in various parts</t>
  </si>
  <si>
    <t>Boxes:</t>
  </si>
  <si>
    <t>Length:</t>
  </si>
  <si>
    <t>each</t>
  </si>
  <si>
    <t>Height:</t>
  </si>
  <si>
    <t>Width:</t>
  </si>
  <si>
    <t>Weight:</t>
  </si>
  <si>
    <t>Kg</t>
  </si>
  <si>
    <t>Total</t>
  </si>
  <si>
    <t>FullScreen Fixed Frame Borderless Screen</t>
  </si>
  <si>
    <t>Drawing Not to Scale</t>
  </si>
  <si>
    <t>Max standard Image width</t>
  </si>
  <si>
    <t xml:space="preserve"> 2.35 - 2.40</t>
  </si>
  <si>
    <t>For larger sizes, please contact sales@screenexcellence.com</t>
  </si>
  <si>
    <t>There are 4 brackets on the top and 4  on the bottom of the screen.</t>
  </si>
  <si>
    <t>The top Brackets are Z brackets that are movable to suit. Generally they are 10 Cm in from the side</t>
  </si>
  <si>
    <t>Bottom brackets provided as standard for sizes above 140"base width</t>
  </si>
  <si>
    <t>Min 30mm clearance is needed above the screen for installation with the brakest.</t>
  </si>
  <si>
    <t>SLIM Fixed Screen</t>
  </si>
  <si>
    <t>There are 2 brackets on the top and NONE on the bottom of the screen.</t>
  </si>
  <si>
    <t>There are no bottom brackets provided as standard.</t>
  </si>
  <si>
    <t>The screen is hanging from the 2 top brackets and resting against a rubber stop at the bottom</t>
  </si>
  <si>
    <t>AV Black  &amp; Silver</t>
  </si>
  <si>
    <t xml:space="preserve">AV Grey </t>
  </si>
  <si>
    <t>Reference Fixed Screen</t>
  </si>
  <si>
    <t>Enlightor NEO W</t>
  </si>
  <si>
    <t>There are 2-4 brackets on the top and on the bottom of the screen.</t>
  </si>
  <si>
    <t>The bottom brackets are Snap In brackes that are movable</t>
  </si>
  <si>
    <t>If the Screen is greater than 160" then there are 2 additional brackets / top and bottom.</t>
  </si>
  <si>
    <t>Vista Curve, Curved Fixed Screen</t>
  </si>
  <si>
    <t>Not to Scale</t>
  </si>
  <si>
    <t>There are 2 brackets on the top and bottom of the screen.</t>
  </si>
  <si>
    <t>Platform Size</t>
  </si>
  <si>
    <t xml:space="preserve">Size </t>
  </si>
  <si>
    <t>Depth (mm)</t>
  </si>
  <si>
    <t>Radius (mm)</t>
  </si>
  <si>
    <t>Enlightor S</t>
  </si>
  <si>
    <t>Case</t>
  </si>
  <si>
    <t>B. Drop (mm)</t>
  </si>
  <si>
    <t>240v</t>
  </si>
  <si>
    <t>Batten (mm)</t>
  </si>
  <si>
    <t xml:space="preserve">There is a pair of wall/ceiling compatible brackets supplied with  the screen. </t>
  </si>
  <si>
    <t>They are to be placed near the case ends</t>
  </si>
  <si>
    <t>The screen is shipped assembled ready to install</t>
  </si>
  <si>
    <t>Depth:</t>
  </si>
  <si>
    <t xml:space="preserve">XL Retractable Solid Tensioned Screen </t>
  </si>
  <si>
    <t>Borders are 80mm</t>
  </si>
  <si>
    <t>In Ceiling installation only</t>
  </si>
  <si>
    <t>In Ceiling Retractable Solid Tensioned Screen Case</t>
  </si>
  <si>
    <t xml:space="preserve">MediaTime Retractable Motorised AT Screen </t>
  </si>
  <si>
    <t>On Wall or On Ceiling mounted</t>
  </si>
  <si>
    <t>Case Colour White or Black</t>
  </si>
  <si>
    <t>Motor is on the Left Hand Side</t>
  </si>
  <si>
    <t>All borders are 75mm wide</t>
  </si>
  <si>
    <t>MediaTime screen ships in 1 box for ease of installation and delivery.</t>
  </si>
  <si>
    <t>Batten is 70mm and borders are 50mm wide</t>
  </si>
  <si>
    <t xml:space="preserve">Multi Format Retractable Motorised AT Screen </t>
  </si>
  <si>
    <t>Ceiling mounted</t>
  </si>
  <si>
    <t>With Native HD, masking reduces the height to WS</t>
  </si>
  <si>
    <t>Max standard Native Image width</t>
  </si>
  <si>
    <t>There are 2  ceiling DIN fixing rails supplied with  the screen.</t>
  </si>
  <si>
    <t>True Aspect Masking Screen -1</t>
  </si>
  <si>
    <t>See Below</t>
  </si>
  <si>
    <t>Closed H</t>
  </si>
  <si>
    <t>Standard Aspect Ratios</t>
  </si>
  <si>
    <t>AR</t>
  </si>
  <si>
    <t>View H</t>
  </si>
  <si>
    <t>View W</t>
  </si>
  <si>
    <t>Mask Size</t>
  </si>
  <si>
    <t>Percentage</t>
  </si>
  <si>
    <t>There are 2wall fixing brackets on each side of the screen.</t>
  </si>
  <si>
    <t>Crates:</t>
  </si>
  <si>
    <t>True Aspect Masking Screen TB</t>
  </si>
  <si>
    <t>Screen can store up to 99 masking positions</t>
  </si>
  <si>
    <t>There is 2 wall fixing brackets on each side of the screen.</t>
  </si>
  <si>
    <t>Closed W</t>
  </si>
  <si>
    <t>2.35 - 2.40</t>
  </si>
  <si>
    <t>There are 2 wall fixing brackets on each side of the screen.</t>
  </si>
  <si>
    <t>The screen is separated into a Left and Right part that are rejoined at installation</t>
  </si>
  <si>
    <t xml:space="preserve">TAM Art Edition </t>
  </si>
  <si>
    <t>True Aspect Masking Screen with Fully Closing AT art Canvas</t>
  </si>
  <si>
    <t>N/A</t>
  </si>
  <si>
    <t>OK</t>
  </si>
  <si>
    <t>Full Closing Acoustically Transparent Art Canvas</t>
  </si>
  <si>
    <t>The Art mask rolls down once the screen is not used making it an artwork while protecting the screen fro the enviroment.</t>
  </si>
  <si>
    <t>There are 4 wall fixing brackets on top and bottom of the screen.</t>
  </si>
  <si>
    <t>True Aspect Masking Screen FC</t>
  </si>
  <si>
    <t>0.00</t>
  </si>
  <si>
    <t>Adjusted W</t>
  </si>
  <si>
    <t xml:space="preserve">Absolute Masking Curved Screen LR </t>
  </si>
  <si>
    <t>FC</t>
  </si>
  <si>
    <t>Size</t>
  </si>
  <si>
    <t>Mask Width</t>
  </si>
  <si>
    <t>There are 2-4 brackets on the top and bottom of the screen. They are attached to the platform in differing postions based upon the radius of the curve.</t>
  </si>
  <si>
    <t>4 way True Aspect Masking Screen</t>
  </si>
  <si>
    <t>1.78 - 2.40</t>
  </si>
  <si>
    <t>The screen is shipped in various parts and requires assembly</t>
  </si>
  <si>
    <t>Total  H open</t>
  </si>
  <si>
    <t>Top frame W</t>
  </si>
  <si>
    <t>Top/Bottom frame W</t>
  </si>
  <si>
    <t xml:space="preserve">Custom Screen with lateral masks reducing the width of the viewing area </t>
  </si>
  <si>
    <t>Notes: Custom screen with horizontal masks reducing the height of the viewing area</t>
  </si>
  <si>
    <t>Notes: Custom screen with lateral masks reducing the width of the viewing area to the desired A.R. and a horizontal drop down A.T. mask printed with custom decorative image</t>
  </si>
  <si>
    <t xml:space="preserve">5mm mm </t>
  </si>
  <si>
    <t>The wall bracket also provides ceiling mount.Installation with the wall bracket requires min 30mm clearance above the screen.</t>
  </si>
  <si>
    <t>There are 2 slots at each end of the screen case. These correspond to the hooks located on the wall bracket</t>
  </si>
  <si>
    <t>230 V</t>
  </si>
  <si>
    <t>220 V</t>
  </si>
  <si>
    <t>Elegance Fixed Frame Borderless Screen</t>
  </si>
  <si>
    <t>ADD 100 mm WHEN A REMOTE CONTROL IS INCLUDED</t>
  </si>
  <si>
    <t>True Aspect Masking Screen - TAM 2 L</t>
  </si>
  <si>
    <t>Black Backing: optional</t>
  </si>
  <si>
    <t>Image Widt</t>
  </si>
  <si>
    <t>Image Height</t>
  </si>
  <si>
    <t>Drawing is not to Scale</t>
  </si>
  <si>
    <t>Max standard Image width: 5080 mm/200"</t>
  </si>
  <si>
    <t>How to configurate your screen:</t>
  </si>
  <si>
    <t>STEP 1.  Select the screen platform by clicking on the (tab) located in the table at the bottom of the window</t>
  </si>
  <si>
    <r>
      <t>STEP 3.  Enter in the desired native aspect ratio (</t>
    </r>
    <r>
      <rPr>
        <b/>
        <sz val="16"/>
        <color theme="4"/>
        <rFont val="Lato Regular"/>
      </rPr>
      <t>Native AR</t>
    </r>
    <r>
      <rPr>
        <sz val="16"/>
        <color theme="1"/>
        <rFont val="Lato Regular"/>
      </rPr>
      <t>)</t>
    </r>
  </si>
  <si>
    <t>STEP 4.  Select the screen projection surface</t>
  </si>
  <si>
    <t>STEP 5.  Select the mains voltage for screens with motors</t>
  </si>
  <si>
    <t>STEP 6.  For retractable screens, select the black drop extension and the cassette colour</t>
  </si>
  <si>
    <t>You're done!</t>
  </si>
  <si>
    <t>Now, you can print the page and get it signed off by your client</t>
  </si>
  <si>
    <t>Value</t>
  </si>
  <si>
    <t>Configurator will display the overall dimensions and available screen materials for the size</t>
  </si>
  <si>
    <t>If you need even larger screen or have any questions, please contact sales@screenexcellence.com</t>
  </si>
  <si>
    <t>Max Image width: 3556 mm</t>
  </si>
  <si>
    <t>Visionaire USTAT</t>
  </si>
  <si>
    <t xml:space="preserve">Enlightor NEO. </t>
  </si>
  <si>
    <t xml:space="preserve">Visionaire USTAT. </t>
  </si>
  <si>
    <t xml:space="preserve">Visionaire HC. </t>
  </si>
  <si>
    <t>Choose Surface</t>
  </si>
  <si>
    <t>A.R.</t>
  </si>
  <si>
    <t>diagonal inches</t>
  </si>
  <si>
    <t>Height inches</t>
  </si>
  <si>
    <t>width inches</t>
  </si>
  <si>
    <t>diagonal mm</t>
  </si>
  <si>
    <t>Height mm</t>
  </si>
  <si>
    <t>width mm</t>
  </si>
  <si>
    <t xml:space="preserve">    ENLIGHTOR NEO</t>
  </si>
  <si>
    <t xml:space="preserve">   VISIONAIRE USTAT</t>
  </si>
  <si>
    <t>Notes: Custom sizes are available. The price is as per the next multiple of 10 inches</t>
  </si>
  <si>
    <t>Enlightor Neo</t>
  </si>
  <si>
    <t>VISIONAIRE HC</t>
  </si>
  <si>
    <t>Choose Colour</t>
  </si>
  <si>
    <t xml:space="preserve"> White</t>
  </si>
  <si>
    <t>Black</t>
  </si>
  <si>
    <t>Estimated Shipping Sizes &amp; Weights :</t>
  </si>
  <si>
    <t xml:space="preserve">Please enter all the values and selections in the RED cells. </t>
  </si>
  <si>
    <r>
      <t>STEP 2.  Enter the desired native image width in millimeters (</t>
    </r>
    <r>
      <rPr>
        <b/>
        <sz val="16"/>
        <color theme="4"/>
        <rFont val="Lato Regular"/>
      </rPr>
      <t>Image W</t>
    </r>
    <r>
      <rPr>
        <sz val="16"/>
        <color theme="1"/>
        <rFont val="Lato Regular"/>
      </rPr>
      <t>). If quoting in diagonal, please refer to the Diag.Convert. Page</t>
    </r>
  </si>
  <si>
    <t>Solid</t>
  </si>
  <si>
    <t>SELECTING YOUR SCREEN</t>
  </si>
  <si>
    <t>1. Platform selection</t>
  </si>
  <si>
    <t>The two main elements of a screen are the platform and the projection surface. This can be completed by accessories</t>
  </si>
  <si>
    <t>Platforms</t>
  </si>
  <si>
    <t>accessories</t>
  </si>
  <si>
    <t>Discovery</t>
  </si>
  <si>
    <t>Type</t>
  </si>
  <si>
    <t>Fixed-frame</t>
  </si>
  <si>
    <t>Black Backing</t>
  </si>
  <si>
    <t>Fullscreen</t>
  </si>
  <si>
    <t>Slim</t>
  </si>
  <si>
    <t>Elegance</t>
  </si>
  <si>
    <t>Reference</t>
  </si>
  <si>
    <t>Black Backing; Magnetic masks</t>
  </si>
  <si>
    <t>VistaCurve</t>
  </si>
  <si>
    <t>RST</t>
  </si>
  <si>
    <t>Electric drop-down</t>
  </si>
  <si>
    <t>RST-IC</t>
  </si>
  <si>
    <t>Controls</t>
  </si>
  <si>
    <t>MediaTime</t>
  </si>
  <si>
    <t>MFR</t>
  </si>
  <si>
    <t>TAM 1</t>
  </si>
  <si>
    <t>TAM TB</t>
  </si>
  <si>
    <t>TAM 2L</t>
  </si>
  <si>
    <t>TAM 4</t>
  </si>
  <si>
    <t>TAM DECO</t>
  </si>
  <si>
    <t>Fixed-frame with mask</t>
  </si>
  <si>
    <t>Fixed-frame with masks</t>
  </si>
  <si>
    <t>You need to select the right platform according to the use and the installation environment</t>
  </si>
  <si>
    <t>Our recommendation is:</t>
  </si>
  <si>
    <t>For dedicated rooms: Fixed-frame, with or without masks. Note: Masks  provide the perfect black borders whatever the aspect ratio</t>
  </si>
  <si>
    <t>whereas screens without masks are diplaying the projector's grey stripes on the borders of the image when the spect ratio differs</t>
  </si>
  <si>
    <t>from the screen's one</t>
  </si>
  <si>
    <t>Absolute</t>
  </si>
  <si>
    <t>For living rooms or any other room,an electric drop-down screen is the best choice. When not in use, it disappears as it is retracted</t>
  </si>
  <si>
    <t>The TAM DECO can also be used as a decorative object in any room.</t>
  </si>
  <si>
    <t>More in detail:</t>
  </si>
  <si>
    <t>Entry-level fixed-frame screen</t>
  </si>
  <si>
    <t>general</t>
  </si>
  <si>
    <t>size limit</t>
  </si>
  <si>
    <t>140" base width</t>
  </si>
  <si>
    <t>Vidionairte HC</t>
  </si>
  <si>
    <t>Y</t>
  </si>
  <si>
    <t>Platform</t>
  </si>
  <si>
    <t>No-borders fixed-frame</t>
  </si>
  <si>
    <t>Thin bezel fixed-frame</t>
  </si>
  <si>
    <t>200" base width</t>
  </si>
  <si>
    <t>N</t>
  </si>
  <si>
    <t>No-bezel 4mm edge Fixed frame</t>
  </si>
  <si>
    <t>Luxury fixed frame</t>
  </si>
  <si>
    <t>custom sizes</t>
  </si>
  <si>
    <t>130" base width</t>
  </si>
  <si>
    <t>280" base width</t>
  </si>
  <si>
    <t>Curved version of the Reference</t>
  </si>
  <si>
    <t>Entry-level electric drop-down</t>
  </si>
  <si>
    <t>160" base width</t>
  </si>
  <si>
    <t>Microperf 1.0</t>
  </si>
  <si>
    <t>IN-Ceiling version of the RST</t>
  </si>
  <si>
    <t>Ultimate electric drop-down</t>
  </si>
  <si>
    <t>Multi-format electric drop-down</t>
  </si>
  <si>
    <t>180" Base width</t>
  </si>
  <si>
    <t>Fixed-frame one top motorised mask, HD</t>
  </si>
  <si>
    <t>Fixed-frame, 2 lateral masks, WS</t>
  </si>
  <si>
    <t>Fixed-frame, curved FC, WS</t>
  </si>
  <si>
    <t>TAM FC</t>
  </si>
  <si>
    <t>Fixed-frame, lateral masks fully colsing, WS</t>
  </si>
  <si>
    <t>Fixed-frame, 2 lateral masks + printed mask, WS</t>
  </si>
  <si>
    <t>Fixed-frame, 4-way masking</t>
  </si>
  <si>
    <t>Fixed-frame, top &amp; bottom masks, HD</t>
  </si>
  <si>
    <t>2. Projection surface selection</t>
  </si>
  <si>
    <t>Enlightor Neo-W</t>
  </si>
  <si>
    <t>Visionaire HC</t>
  </si>
  <si>
    <t>Microperf 1</t>
  </si>
  <si>
    <t>GAIN</t>
  </si>
  <si>
    <t>recommended application</t>
  </si>
  <si>
    <t>0.9</t>
  </si>
  <si>
    <t>0.75</t>
  </si>
  <si>
    <t>0.7</t>
  </si>
  <si>
    <t>0.8</t>
  </si>
  <si>
    <t>1.0</t>
  </si>
  <si>
    <t>Dedicated rooms. Most versatile surface</t>
  </si>
  <si>
    <t>Very large screens</t>
  </si>
  <si>
    <t>maximum height</t>
  </si>
  <si>
    <t>290 cm</t>
  </si>
  <si>
    <t>480 cm</t>
  </si>
  <si>
    <t>160 cm</t>
  </si>
  <si>
    <t>Acoustic transparency</t>
  </si>
  <si>
    <t>210 cm</t>
  </si>
  <si>
    <t>200 cm</t>
  </si>
  <si>
    <t>Excellent</t>
  </si>
  <si>
    <t>very good</t>
  </si>
  <si>
    <t>No</t>
  </si>
  <si>
    <t>Ultra-short Trow and high contrast. Dedicated rooms and living rooms</t>
  </si>
  <si>
    <t>High Contrast ALR. Dedicated rooms and living rooms</t>
  </si>
  <si>
    <t>Corporate applications, sports, etc.</t>
  </si>
  <si>
    <t xml:space="preserve">featuring industry-leading imaging and acoustically transparent performance with luxury design. </t>
  </si>
  <si>
    <t>Welcome to Screen Excellence! Our configurator lets you quickly and confidently specify the perfect screen for your installation,</t>
  </si>
  <si>
    <t xml:space="preserve">Start by selecting your preferred screen platform and projection surface. If the screen is pecified in diagonal size, please use </t>
  </si>
  <si>
    <t xml:space="preserve">the “Diag.Convert” page to convert diagonal measurements to base width in millimeters. For any help, </t>
  </si>
  <si>
    <t>please contact sales@screenexcellence.com, or reach out to your national distributor.</t>
  </si>
  <si>
    <t>ENLIGHTOR NEO W</t>
  </si>
  <si>
    <t xml:space="preserve">Visionaire </t>
  </si>
  <si>
    <t>USTAT</t>
  </si>
  <si>
    <t xml:space="preserve">For larger sizes, please contact </t>
  </si>
  <si>
    <t>sales@screenexcellence.com</t>
  </si>
  <si>
    <t>MASK</t>
  </si>
  <si>
    <t xml:space="preserve">RetractableTensioned Screen </t>
  </si>
  <si>
    <t xml:space="preserve">In Ceiling Retractable Tensioned Screen </t>
  </si>
  <si>
    <t>RTS</t>
  </si>
  <si>
    <t>RTS-IC</t>
  </si>
  <si>
    <t>For RTS platform only</t>
  </si>
  <si>
    <t>Note: The RTS projection surface is either dropping from the front or the rear. Please specify when ordering</t>
  </si>
  <si>
    <t>ONLY AVAILABLE WITH ENLIGHTOR NEO</t>
  </si>
  <si>
    <t>y</t>
  </si>
  <si>
    <t>Choose projection surface</t>
  </si>
  <si>
    <t xml:space="preserve">BLACK </t>
  </si>
  <si>
    <t xml:space="preserve">WHITE </t>
  </si>
  <si>
    <t>X</t>
  </si>
  <si>
    <r>
      <t xml:space="preserve">Screen to drop from Rear of cassette- </t>
    </r>
    <r>
      <rPr>
        <b/>
        <u/>
        <sz val="12"/>
        <color theme="1"/>
        <rFont val="Lato Regular"/>
      </rPr>
      <t>Please mention when ordering</t>
    </r>
  </si>
  <si>
    <t>Control</t>
  </si>
  <si>
    <t xml:space="preserve"> No</t>
  </si>
  <si>
    <t>Trigger</t>
  </si>
  <si>
    <t xml:space="preserve"> RF</t>
  </si>
  <si>
    <t>Microperf, gain=0.7</t>
  </si>
  <si>
    <t>Solid, Gain=1.1</t>
  </si>
  <si>
    <t>Solid. G=1.1</t>
  </si>
  <si>
    <t>Microperf.G=0.7</t>
  </si>
  <si>
    <t>V</t>
  </si>
  <si>
    <t>230v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</si>
</sst>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F800]dddd\,\ mmmm\ dd\,\ yyyy"/>
    <numFmt numFmtId="166" formatCode="0.0"/>
    <numFmt numFmtId="167" formatCode="#,##0_ ;\-#,##0\ "/>
    <numFmt numFmtId="168" formatCode="_-* #,##0_-;\-* #,##0_-;_-* &quot;-&quot;??_-;_-@_-"/>
    <numFmt numFmtId="169" formatCode="0.E+00"/>
    <numFmt numFmtId="170" formatCode="&quot;£&quot;#,##0.00"/>
  </numFmts>
  <fonts count="6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2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theme="1"/>
      <name val="Lato Regular"/>
    </font>
    <font>
      <b/>
      <sz val="12"/>
      <color theme="4"/>
      <name val="Lato Regular"/>
    </font>
    <font>
      <b/>
      <sz val="12"/>
      <color theme="3" tint="0.39997558519241921"/>
      <name val="Lato Regular"/>
    </font>
    <font>
      <b/>
      <sz val="12"/>
      <name val="Lato Regular"/>
    </font>
    <font>
      <sz val="12"/>
      <name val="Lato Regular"/>
    </font>
    <font>
      <b/>
      <u/>
      <sz val="12"/>
      <color theme="1"/>
      <name val="Lato Regular"/>
    </font>
    <font>
      <sz val="12"/>
      <color rgb="FFFF0000"/>
      <name val="Lato Regular"/>
    </font>
    <font>
      <sz val="12"/>
      <color rgb="FF000000"/>
      <name val="Lato Regular"/>
    </font>
    <font>
      <b/>
      <sz val="16"/>
      <color theme="1"/>
      <name val="Lato Regular"/>
    </font>
    <font>
      <sz val="16"/>
      <color theme="1"/>
      <name val="Lato Regular"/>
    </font>
    <font>
      <sz val="12"/>
      <color theme="5" tint="-0.249977111117893"/>
      <name val="Lato Regular"/>
    </font>
    <font>
      <sz val="9"/>
      <color theme="1"/>
      <name val="Lato Regular"/>
    </font>
    <font>
      <b/>
      <u/>
      <sz val="12"/>
      <color rgb="FF000000"/>
      <name val="Lato Regular"/>
    </font>
    <font>
      <sz val="14"/>
      <color rgb="FF0433FF"/>
      <name val="Tahoma"/>
      <family val="2"/>
    </font>
    <font>
      <sz val="14"/>
      <color rgb="FF0433FF"/>
      <name val="Times"/>
      <family val="1"/>
    </font>
    <font>
      <sz val="1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rgb="FF000000"/>
      <name val="Lato Regular"/>
    </font>
    <font>
      <sz val="12"/>
      <color theme="2" tint="-0.499984740745262"/>
      <name val="Lato Regular"/>
    </font>
    <font>
      <sz val="12"/>
      <color theme="9" tint="-0.249977111117893"/>
      <name val="Lato Regular"/>
    </font>
    <font>
      <b/>
      <sz val="12"/>
      <color theme="0"/>
      <name val="Lato Regular"/>
    </font>
    <font>
      <sz val="12"/>
      <color theme="9" tint="-0.499984740745262"/>
      <name val="Lato Regular"/>
    </font>
    <font>
      <sz val="11"/>
      <color theme="1"/>
      <name val="Lato Regular"/>
    </font>
    <font>
      <sz val="12"/>
      <color theme="0"/>
      <name val="Lato Regular"/>
    </font>
    <font>
      <b/>
      <sz val="16"/>
      <color theme="4"/>
      <name val="Lato Regular"/>
    </font>
    <font>
      <sz val="14"/>
      <color theme="1"/>
      <name val="Lato Regular"/>
    </font>
    <font>
      <i/>
      <sz val="14"/>
      <color theme="1"/>
      <name val="Lato Regular"/>
    </font>
    <font>
      <b/>
      <sz val="18"/>
      <color theme="1"/>
      <name val="Lato Regular"/>
    </font>
    <font>
      <b/>
      <sz val="14"/>
      <color theme="1"/>
      <name val="Lato Regular"/>
    </font>
    <font>
      <b/>
      <sz val="10"/>
      <color theme="1"/>
      <name val="Lato Regular"/>
    </font>
    <font>
      <b/>
      <sz val="9"/>
      <color theme="1"/>
      <name val="Lato Regular"/>
    </font>
    <font>
      <b/>
      <sz val="11"/>
      <color theme="1"/>
      <name val="Lato Regular"/>
    </font>
    <font>
      <sz val="14"/>
      <color theme="1"/>
      <name val="Lato"/>
    </font>
    <font>
      <sz val="12"/>
      <color theme="1"/>
      <name val="Lato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Lato Regular"/>
    </font>
    <font>
      <u/>
      <sz val="24"/>
      <color theme="1"/>
      <name val="Lato Regula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3" tint="-0.249977111117893"/>
      <name val="Lato Regular"/>
    </font>
    <font>
      <sz val="12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Lato Regular"/>
    </font>
    <font>
      <b/>
      <u/>
      <sz val="16"/>
      <color theme="0"/>
      <name val="Lato Regular"/>
    </font>
    <font>
      <b/>
      <u/>
      <sz val="16"/>
      <color theme="0"/>
      <name val="Calibri"/>
      <family val="2"/>
      <scheme val="minor"/>
    </font>
    <font>
      <b/>
      <u/>
      <sz val="12"/>
      <color theme="0"/>
      <name val="Lato Regular"/>
    </font>
    <font>
      <sz val="18"/>
      <color theme="1"/>
      <name val="Lato Regular"/>
    </font>
    <font>
      <sz val="24"/>
      <color theme="1"/>
      <name val="Lato Regular"/>
    </font>
    <font>
      <u/>
      <sz val="12"/>
      <color theme="10"/>
      <name val="Calibri"/>
      <family val="2"/>
      <scheme val="minor"/>
    </font>
    <font>
      <b/>
      <sz val="18"/>
      <color theme="3"/>
      <name val="Lato Regular"/>
    </font>
    <font>
      <sz val="20"/>
      <color theme="0"/>
      <name val="Lato Regular"/>
    </font>
    <font>
      <b/>
      <sz val="28"/>
      <color theme="0"/>
      <name val="Lato Regular"/>
    </font>
    <font>
      <b/>
      <sz val="12"/>
      <color rgb="FF030303"/>
      <name val="Lato Regula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darkGray">
        <fgColor theme="1"/>
      </patternFill>
    </fill>
    <fill>
      <patternFill patternType="gray125">
        <bgColor theme="1" tint="0.499984740745262"/>
      </patternFill>
    </fill>
    <fill>
      <patternFill patternType="darkTrellis">
        <fgColor theme="1"/>
        <bgColor theme="1" tint="0.249977111117893"/>
      </patternFill>
    </fill>
    <fill>
      <patternFill patternType="solid">
        <fgColor theme="1" tint="4.9989318521683403E-2"/>
        <bgColor theme="1"/>
      </patternFill>
    </fill>
    <fill>
      <patternFill patternType="gray125">
        <bgColor theme="1" tint="0.34998626667073579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auto="1"/>
      </patternFill>
    </fill>
  </fills>
  <borders count="5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73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735">
    <xf numFmtId="0" fontId="0" fillId="0" borderId="0" xfId="0"/>
    <xf numFmtId="0" fontId="8" fillId="0" borderId="0" xfId="0" applyFont="1"/>
    <xf numFmtId="0" fontId="9" fillId="0" borderId="0" xfId="0" applyFont="1"/>
    <xf numFmtId="12" fontId="8" fillId="0" borderId="0" xfId="0" applyNumberFormat="1" applyFont="1"/>
    <xf numFmtId="0" fontId="8" fillId="2" borderId="0" xfId="0" applyFont="1" applyFill="1"/>
    <xf numFmtId="1" fontId="10" fillId="0" borderId="0" xfId="0" applyNumberFormat="1" applyFont="1" applyAlignment="1">
      <alignment horizontal="right"/>
    </xf>
    <xf numFmtId="0" fontId="8" fillId="0" borderId="5" xfId="0" applyFont="1" applyBorder="1"/>
    <xf numFmtId="0" fontId="10" fillId="0" borderId="6" xfId="0" applyFont="1" applyBorder="1" applyAlignment="1">
      <alignment horizontal="center"/>
    </xf>
    <xf numFmtId="164" fontId="10" fillId="0" borderId="6" xfId="1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" fontId="12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1" fontId="13" fillId="0" borderId="4" xfId="1" applyNumberFormat="1" applyFont="1" applyBorder="1" applyAlignment="1">
      <alignment horizontal="center"/>
    </xf>
    <xf numFmtId="1" fontId="10" fillId="0" borderId="4" xfId="1" applyNumberFormat="1" applyFont="1" applyBorder="1" applyAlignment="1">
      <alignment horizontal="center"/>
    </xf>
    <xf numFmtId="0" fontId="8" fillId="0" borderId="1" xfId="0" applyFont="1" applyBorder="1"/>
    <xf numFmtId="0" fontId="8" fillId="0" borderId="16" xfId="0" applyFont="1" applyBorder="1"/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8" fillId="0" borderId="2" xfId="0" applyFont="1" applyBorder="1"/>
    <xf numFmtId="0" fontId="8" fillId="0" borderId="0" xfId="1" applyNumberFormat="1" applyFont="1"/>
    <xf numFmtId="164" fontId="8" fillId="0" borderId="0" xfId="1" applyFont="1"/>
    <xf numFmtId="12" fontId="8" fillId="0" borderId="4" xfId="0" applyNumberFormat="1" applyFont="1" applyBorder="1" applyAlignment="1">
      <alignment horizontal="left" indent="1"/>
    </xf>
    <xf numFmtId="1" fontId="14" fillId="0" borderId="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left" indent="1"/>
    </xf>
    <xf numFmtId="1" fontId="14" fillId="0" borderId="9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3" xfId="0" applyFont="1" applyBorder="1"/>
    <xf numFmtId="1" fontId="13" fillId="0" borderId="9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left"/>
    </xf>
    <xf numFmtId="0" fontId="19" fillId="0" borderId="0" xfId="0" applyFont="1"/>
    <xf numFmtId="12" fontId="20" fillId="0" borderId="0" xfId="0" applyNumberFormat="1" applyFont="1" applyAlignment="1">
      <alignment horizontal="center"/>
    </xf>
    <xf numFmtId="12" fontId="2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right"/>
    </xf>
    <xf numFmtId="12" fontId="20" fillId="0" borderId="0" xfId="0" applyNumberFormat="1" applyFont="1" applyAlignment="1">
      <alignment horizontal="right"/>
    </xf>
    <xf numFmtId="12" fontId="20" fillId="0" borderId="0" xfId="0" applyNumberFormat="1" applyFont="1"/>
    <xf numFmtId="1" fontId="10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2" fontId="20" fillId="0" borderId="4" xfId="0" applyNumberFormat="1" applyFont="1" applyBorder="1" applyAlignment="1">
      <alignment horizontal="left" indent="1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67" fontId="11" fillId="0" borderId="4" xfId="1" applyNumberFormat="1" applyFont="1" applyBorder="1" applyAlignment="1">
      <alignment horizontal="center"/>
    </xf>
    <xf numFmtId="12" fontId="20" fillId="0" borderId="9" xfId="0" applyNumberFormat="1" applyFont="1" applyBorder="1" applyAlignment="1">
      <alignment horizontal="left" indent="1"/>
    </xf>
    <xf numFmtId="0" fontId="10" fillId="0" borderId="22" xfId="0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5" fillId="0" borderId="0" xfId="0" applyFont="1"/>
    <xf numFmtId="0" fontId="8" fillId="0" borderId="22" xfId="0" applyFont="1" applyBorder="1"/>
    <xf numFmtId="0" fontId="15" fillId="0" borderId="0" xfId="0" applyFont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10" fillId="0" borderId="0" xfId="0" applyNumberFormat="1" applyFont="1"/>
    <xf numFmtId="12" fontId="20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4" borderId="0" xfId="0" applyFont="1" applyFill="1"/>
    <xf numFmtId="1" fontId="29" fillId="0" borderId="0" xfId="0" applyNumberFormat="1" applyFont="1" applyAlignment="1">
      <alignment horizontal="center"/>
    </xf>
    <xf numFmtId="12" fontId="30" fillId="0" borderId="0" xfId="0" applyNumberFormat="1" applyFont="1" applyAlignment="1">
      <alignment horizontal="center"/>
    </xf>
    <xf numFmtId="164" fontId="10" fillId="0" borderId="6" xfId="255" applyFont="1" applyBorder="1" applyAlignment="1">
      <alignment horizontal="center"/>
    </xf>
    <xf numFmtId="1" fontId="11" fillId="0" borderId="4" xfId="255" applyNumberFormat="1" applyFont="1" applyBorder="1" applyAlignment="1">
      <alignment horizontal="center"/>
    </xf>
    <xf numFmtId="1" fontId="13" fillId="0" borderId="4" xfId="255" applyNumberFormat="1" applyFont="1" applyBorder="1" applyAlignment="1">
      <alignment horizontal="center"/>
    </xf>
    <xf numFmtId="1" fontId="10" fillId="0" borderId="4" xfId="255" applyNumberFormat="1" applyFont="1" applyBorder="1" applyAlignment="1">
      <alignment horizontal="center"/>
    </xf>
    <xf numFmtId="167" fontId="11" fillId="0" borderId="4" xfId="255" applyNumberFormat="1" applyFont="1" applyBorder="1" applyAlignment="1">
      <alignment horizontal="center"/>
    </xf>
    <xf numFmtId="0" fontId="29" fillId="0" borderId="16" xfId="0" applyFont="1" applyBorder="1"/>
    <xf numFmtId="1" fontId="14" fillId="0" borderId="4" xfId="255" applyNumberFormat="1" applyFont="1" applyBorder="1" applyAlignment="1">
      <alignment horizontal="center"/>
    </xf>
    <xf numFmtId="1" fontId="13" fillId="0" borderId="9" xfId="255" applyNumberFormat="1" applyFont="1" applyBorder="1" applyAlignment="1">
      <alignment horizontal="center"/>
    </xf>
    <xf numFmtId="166" fontId="8" fillId="0" borderId="9" xfId="255" applyNumberFormat="1" applyFont="1" applyBorder="1" applyAlignment="1">
      <alignment horizontal="center"/>
    </xf>
    <xf numFmtId="0" fontId="8" fillId="0" borderId="0" xfId="255" applyNumberFormat="1" applyFont="1"/>
    <xf numFmtId="164" fontId="8" fillId="0" borderId="0" xfId="255" applyFont="1"/>
    <xf numFmtId="12" fontId="32" fillId="0" borderId="0" xfId="0" applyNumberFormat="1" applyFont="1" applyAlignment="1">
      <alignment horizontal="center"/>
    </xf>
    <xf numFmtId="0" fontId="33" fillId="0" borderId="0" xfId="0" applyFont="1"/>
    <xf numFmtId="0" fontId="19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1" applyNumberFormat="1" applyFont="1" applyAlignment="1">
      <alignment horizontal="left"/>
    </xf>
    <xf numFmtId="0" fontId="8" fillId="0" borderId="0" xfId="1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 vertical="center"/>
    </xf>
    <xf numFmtId="12" fontId="20" fillId="0" borderId="0" xfId="0" applyNumberFormat="1" applyFont="1" applyAlignment="1">
      <alignment horizontal="center" vertical="center"/>
    </xf>
    <xf numFmtId="12" fontId="8" fillId="0" borderId="0" xfId="0" applyNumberFormat="1" applyFont="1" applyAlignment="1">
      <alignment horizontal="center"/>
    </xf>
    <xf numFmtId="0" fontId="34" fillId="0" borderId="22" xfId="0" quotePrefix="1" applyFont="1" applyBorder="1"/>
    <xf numFmtId="0" fontId="34" fillId="0" borderId="22" xfId="0" applyFont="1" applyBorder="1"/>
    <xf numFmtId="0" fontId="18" fillId="0" borderId="22" xfId="0" applyFont="1" applyBorder="1"/>
    <xf numFmtId="0" fontId="25" fillId="0" borderId="3" xfId="0" applyFont="1" applyBorder="1" applyAlignment="1">
      <alignment horizontal="left"/>
    </xf>
    <xf numFmtId="12" fontId="32" fillId="0" borderId="0" xfId="0" applyNumberFormat="1" applyFont="1" applyAlignment="1">
      <alignment horizontal="right"/>
    </xf>
    <xf numFmtId="0" fontId="29" fillId="0" borderId="21" xfId="0" applyFont="1" applyBorder="1"/>
    <xf numFmtId="0" fontId="8" fillId="6" borderId="0" xfId="0" applyFont="1" applyFill="1"/>
    <xf numFmtId="0" fontId="31" fillId="6" borderId="0" xfId="0" applyFont="1" applyFill="1"/>
    <xf numFmtId="166" fontId="8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166" fontId="8" fillId="0" borderId="5" xfId="0" applyNumberFormat="1" applyFont="1" applyBorder="1" applyProtection="1">
      <protection locked="0"/>
    </xf>
    <xf numFmtId="166" fontId="10" fillId="0" borderId="6" xfId="0" applyNumberFormat="1" applyFont="1" applyBorder="1" applyAlignment="1" applyProtection="1">
      <alignment horizontal="center"/>
      <protection locked="0"/>
    </xf>
    <xf numFmtId="166" fontId="10" fillId="0" borderId="6" xfId="1" applyNumberFormat="1" applyFont="1" applyBorder="1" applyAlignment="1" applyProtection="1">
      <alignment horizontal="center"/>
      <protection locked="0"/>
    </xf>
    <xf numFmtId="166" fontId="10" fillId="0" borderId="6" xfId="0" applyNumberFormat="1" applyFont="1" applyBorder="1" applyAlignment="1" applyProtection="1">
      <alignment horizontal="right"/>
      <protection locked="0"/>
    </xf>
    <xf numFmtId="166" fontId="11" fillId="0" borderId="7" xfId="0" applyNumberFormat="1" applyFont="1" applyBorder="1" applyAlignment="1" applyProtection="1">
      <alignment horizontal="right"/>
      <protection locked="0"/>
    </xf>
    <xf numFmtId="12" fontId="8" fillId="0" borderId="4" xfId="0" applyNumberFormat="1" applyFont="1" applyBorder="1" applyAlignment="1" applyProtection="1">
      <alignment horizontal="left" indent="1"/>
      <protection locked="0"/>
    </xf>
    <xf numFmtId="166" fontId="11" fillId="0" borderId="4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22" xfId="0" applyFont="1" applyBorder="1" applyProtection="1">
      <protection locked="0"/>
    </xf>
    <xf numFmtId="166" fontId="9" fillId="0" borderId="0" xfId="0" applyNumberFormat="1" applyFont="1"/>
    <xf numFmtId="166" fontId="8" fillId="0" borderId="0" xfId="0" applyNumberFormat="1" applyFont="1"/>
    <xf numFmtId="166" fontId="8" fillId="2" borderId="0" xfId="0" applyNumberFormat="1" applyFont="1" applyFill="1"/>
    <xf numFmtId="12" fontId="8" fillId="0" borderId="0" xfId="0" applyNumberFormat="1" applyFont="1" applyAlignment="1">
      <alignment horizontal="right"/>
    </xf>
    <xf numFmtId="166" fontId="10" fillId="0" borderId="0" xfId="0" applyNumberFormat="1" applyFont="1"/>
    <xf numFmtId="166" fontId="8" fillId="0" borderId="5" xfId="0" applyNumberFormat="1" applyFont="1" applyBorder="1"/>
    <xf numFmtId="166" fontId="10" fillId="0" borderId="6" xfId="0" applyNumberFormat="1" applyFont="1" applyBorder="1" applyAlignment="1">
      <alignment horizontal="center"/>
    </xf>
    <xf numFmtId="166" fontId="10" fillId="0" borderId="6" xfId="1" applyNumberFormat="1" applyFont="1" applyBorder="1" applyAlignment="1" applyProtection="1">
      <alignment horizontal="center"/>
    </xf>
    <xf numFmtId="166" fontId="10" fillId="0" borderId="6" xfId="0" applyNumberFormat="1" applyFont="1" applyBorder="1" applyAlignment="1">
      <alignment horizontal="right"/>
    </xf>
    <xf numFmtId="166" fontId="10" fillId="0" borderId="7" xfId="0" applyNumberFormat="1" applyFont="1" applyBorder="1" applyAlignment="1">
      <alignment horizontal="right"/>
    </xf>
    <xf numFmtId="1" fontId="13" fillId="0" borderId="4" xfId="1" applyNumberFormat="1" applyFont="1" applyBorder="1" applyAlignment="1" applyProtection="1">
      <alignment horizontal="center"/>
    </xf>
    <xf numFmtId="166" fontId="10" fillId="0" borderId="4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/>
    </xf>
    <xf numFmtId="1" fontId="10" fillId="0" borderId="4" xfId="1" applyNumberFormat="1" applyFont="1" applyBorder="1" applyAlignment="1" applyProtection="1">
      <alignment horizontal="center"/>
    </xf>
    <xf numFmtId="166" fontId="8" fillId="0" borderId="4" xfId="1" applyNumberFormat="1" applyFont="1" applyBorder="1" applyAlignment="1" applyProtection="1">
      <alignment horizontal="center"/>
    </xf>
    <xf numFmtId="166" fontId="8" fillId="0" borderId="1" xfId="0" applyNumberFormat="1" applyFont="1" applyBorder="1" applyAlignment="1">
      <alignment horizontal="right"/>
    </xf>
    <xf numFmtId="166" fontId="14" fillId="0" borderId="4" xfId="1" applyNumberFormat="1" applyFont="1" applyBorder="1" applyAlignment="1" applyProtection="1">
      <alignment horizontal="center"/>
    </xf>
    <xf numFmtId="1" fontId="14" fillId="0" borderId="4" xfId="1" applyNumberFormat="1" applyFont="1" applyBorder="1" applyAlignment="1" applyProtection="1">
      <alignment horizontal="center"/>
    </xf>
    <xf numFmtId="166" fontId="10" fillId="0" borderId="8" xfId="0" applyNumberFormat="1" applyFont="1" applyBorder="1" applyAlignment="1">
      <alignment horizontal="right"/>
    </xf>
    <xf numFmtId="1" fontId="13" fillId="0" borderId="9" xfId="1" applyNumberFormat="1" applyFont="1" applyBorder="1" applyAlignment="1" applyProtection="1">
      <alignment horizontal="center"/>
    </xf>
    <xf numFmtId="166" fontId="10" fillId="0" borderId="9" xfId="0" applyNumberFormat="1" applyFont="1" applyBorder="1" applyAlignment="1">
      <alignment horizontal="right" vertical="center"/>
    </xf>
    <xf numFmtId="166" fontId="8" fillId="0" borderId="9" xfId="1" applyNumberFormat="1" applyFont="1" applyBorder="1" applyAlignment="1" applyProtection="1">
      <alignment horizontal="center"/>
    </xf>
    <xf numFmtId="0" fontId="8" fillId="0" borderId="0" xfId="0" quotePrefix="1" applyFont="1" applyAlignment="1">
      <alignment horizontal="left" indent="1"/>
    </xf>
    <xf numFmtId="0" fontId="8" fillId="0" borderId="23" xfId="0" applyFont="1" applyBorder="1" applyAlignment="1">
      <alignment horizontal="center"/>
    </xf>
    <xf numFmtId="0" fontId="8" fillId="0" borderId="22" xfId="0" quotePrefix="1" applyFont="1" applyBorder="1" applyAlignment="1">
      <alignment horizontal="left" indent="1"/>
    </xf>
    <xf numFmtId="0" fontId="8" fillId="0" borderId="17" xfId="0" applyFont="1" applyBorder="1" applyAlignment="1">
      <alignment horizontal="center"/>
    </xf>
    <xf numFmtId="0" fontId="8" fillId="0" borderId="18" xfId="0" quotePrefix="1" applyFont="1" applyBorder="1" applyAlignment="1">
      <alignment horizontal="left" indent="1"/>
    </xf>
    <xf numFmtId="166" fontId="10" fillId="0" borderId="22" xfId="0" applyNumberFormat="1" applyFont="1" applyBorder="1"/>
    <xf numFmtId="166" fontId="8" fillId="0" borderId="22" xfId="0" applyNumberFormat="1" applyFont="1" applyBorder="1"/>
    <xf numFmtId="1" fontId="8" fillId="0" borderId="0" xfId="1" applyNumberFormat="1" applyFont="1" applyProtection="1"/>
    <xf numFmtId="166" fontId="16" fillId="0" borderId="0" xfId="1" applyNumberFormat="1" applyFont="1" applyProtection="1"/>
    <xf numFmtId="166" fontId="16" fillId="0" borderId="0" xfId="0" applyNumberFormat="1" applyFont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164" fontId="10" fillId="0" borderId="6" xfId="1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right"/>
      <protection locked="0"/>
    </xf>
    <xf numFmtId="12" fontId="32" fillId="0" borderId="4" xfId="0" applyNumberFormat="1" applyFont="1" applyBorder="1" applyAlignment="1" applyProtection="1">
      <alignment horizontal="left" indent="1"/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164" fontId="8" fillId="0" borderId="0" xfId="1" applyFont="1" applyProtection="1">
      <protection locked="0"/>
    </xf>
    <xf numFmtId="12" fontId="32" fillId="0" borderId="0" xfId="0" applyNumberFormat="1" applyFont="1"/>
    <xf numFmtId="164" fontId="10" fillId="0" borderId="6" xfId="1" applyFont="1" applyBorder="1" applyAlignment="1" applyProtection="1">
      <alignment horizontal="center"/>
    </xf>
    <xf numFmtId="12" fontId="32" fillId="0" borderId="4" xfId="0" applyNumberFormat="1" applyFont="1" applyBorder="1" applyAlignment="1">
      <alignment horizontal="left" indent="1"/>
    </xf>
    <xf numFmtId="2" fontId="8" fillId="0" borderId="4" xfId="1" applyNumberFormat="1" applyFont="1" applyBorder="1" applyAlignment="1" applyProtection="1">
      <alignment horizontal="center"/>
    </xf>
    <xf numFmtId="164" fontId="14" fillId="0" borderId="4" xfId="1" applyFont="1" applyBorder="1" applyAlignment="1" applyProtection="1">
      <alignment horizontal="center"/>
    </xf>
    <xf numFmtId="2" fontId="14" fillId="0" borderId="4" xfId="1" applyNumberFormat="1" applyFont="1" applyBorder="1" applyAlignment="1" applyProtection="1">
      <alignment horizontal="center"/>
    </xf>
    <xf numFmtId="12" fontId="32" fillId="0" borderId="9" xfId="0" applyNumberFormat="1" applyFont="1" applyBorder="1" applyAlignment="1">
      <alignment horizontal="left" indent="1"/>
    </xf>
    <xf numFmtId="166" fontId="13" fillId="0" borderId="9" xfId="1" applyNumberFormat="1" applyFont="1" applyBorder="1" applyAlignment="1" applyProtection="1">
      <alignment horizontal="center"/>
    </xf>
    <xf numFmtId="2" fontId="8" fillId="0" borderId="9" xfId="1" applyNumberFormat="1" applyFont="1" applyBorder="1" applyAlignment="1" applyProtection="1">
      <alignment horizontal="center"/>
    </xf>
    <xf numFmtId="0" fontId="8" fillId="0" borderId="3" xfId="0" applyFont="1" applyBorder="1" applyAlignment="1">
      <alignment horizontal="right"/>
    </xf>
    <xf numFmtId="164" fontId="8" fillId="0" borderId="0" xfId="1" applyFont="1" applyProtection="1"/>
    <xf numFmtId="12" fontId="8" fillId="0" borderId="4" xfId="0" applyNumberFormat="1" applyFont="1" applyBorder="1" applyAlignment="1" applyProtection="1">
      <alignment horizontal="center"/>
      <protection locked="0"/>
    </xf>
    <xf numFmtId="12" fontId="8" fillId="0" borderId="4" xfId="0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"/>
    </xf>
    <xf numFmtId="1" fontId="14" fillId="0" borderId="9" xfId="1" applyNumberFormat="1" applyFont="1" applyBorder="1" applyAlignment="1" applyProtection="1">
      <alignment horizontal="center"/>
    </xf>
    <xf numFmtId="12" fontId="20" fillId="0" borderId="4" xfId="0" applyNumberFormat="1" applyFont="1" applyBorder="1" applyAlignment="1" applyProtection="1">
      <alignment horizontal="left" indent="1"/>
      <protection locked="0"/>
    </xf>
    <xf numFmtId="1" fontId="8" fillId="0" borderId="4" xfId="1" applyNumberFormat="1" applyFont="1" applyBorder="1" applyAlignment="1" applyProtection="1">
      <alignment horizontal="center"/>
    </xf>
    <xf numFmtId="0" fontId="19" fillId="0" borderId="0" xfId="0" applyFont="1" applyProtection="1"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12" fontId="20" fillId="0" borderId="0" xfId="0" applyNumberFormat="1" applyFont="1" applyAlignment="1" applyProtection="1">
      <alignment horizontal="left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8" fillId="7" borderId="0" xfId="0" applyFont="1" applyFill="1"/>
    <xf numFmtId="1" fontId="13" fillId="0" borderId="4" xfId="1" applyNumberFormat="1" applyFont="1" applyBorder="1" applyAlignment="1" applyProtection="1">
      <alignment horizontal="center" shrinkToFit="1"/>
    </xf>
    <xf numFmtId="0" fontId="40" fillId="0" borderId="4" xfId="0" applyFont="1" applyBorder="1"/>
    <xf numFmtId="0" fontId="10" fillId="0" borderId="24" xfId="0" applyFont="1" applyBorder="1" applyAlignment="1">
      <alignment horizontal="right"/>
    </xf>
    <xf numFmtId="12" fontId="8" fillId="0" borderId="25" xfId="0" applyNumberFormat="1" applyFont="1" applyBorder="1" applyAlignment="1">
      <alignment horizontal="center"/>
    </xf>
    <xf numFmtId="1" fontId="10" fillId="0" borderId="25" xfId="1" applyNumberFormat="1" applyFont="1" applyBorder="1" applyAlignment="1" applyProtection="1">
      <alignment horizontal="center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8" borderId="0" xfId="0" applyFont="1" applyFill="1"/>
    <xf numFmtId="0" fontId="41" fillId="0" borderId="4" xfId="0" applyFont="1" applyBorder="1" applyAlignment="1">
      <alignment horizontal="center" wrapText="1"/>
    </xf>
    <xf numFmtId="0" fontId="26" fillId="0" borderId="0" xfId="0" applyFont="1"/>
    <xf numFmtId="0" fontId="42" fillId="0" borderId="9" xfId="0" applyFont="1" applyBorder="1" applyAlignment="1">
      <alignment horizontal="right"/>
    </xf>
    <xf numFmtId="1" fontId="10" fillId="0" borderId="0" xfId="0" applyNumberFormat="1" applyFont="1" applyAlignment="1">
      <alignment horizontal="left" vertical="center"/>
    </xf>
    <xf numFmtId="12" fontId="8" fillId="0" borderId="0" xfId="0" applyNumberFormat="1" applyFont="1" applyAlignment="1">
      <alignment horizontal="right" vertical="center"/>
    </xf>
    <xf numFmtId="0" fontId="8" fillId="5" borderId="0" xfId="0" applyFont="1" applyFill="1"/>
    <xf numFmtId="0" fontId="8" fillId="3" borderId="0" xfId="0" applyFont="1" applyFill="1"/>
    <xf numFmtId="12" fontId="8" fillId="0" borderId="0" xfId="0" applyNumberFormat="1" applyFont="1" applyAlignment="1">
      <alignment horizontal="center" shrinkToFit="1"/>
    </xf>
    <xf numFmtId="12" fontId="16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Protection="1">
      <protection locked="0"/>
    </xf>
    <xf numFmtId="169" fontId="34" fillId="0" borderId="0" xfId="0" applyNumberFormat="1" applyFont="1" applyAlignment="1">
      <alignment horizontal="center"/>
    </xf>
    <xf numFmtId="0" fontId="8" fillId="0" borderId="28" xfId="0" applyFont="1" applyBorder="1"/>
    <xf numFmtId="0" fontId="15" fillId="0" borderId="29" xfId="0" applyFont="1" applyBorder="1" applyAlignment="1">
      <alignment horizontal="center"/>
    </xf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2" fontId="8" fillId="0" borderId="0" xfId="1" applyNumberFormat="1" applyFont="1" applyBorder="1" applyAlignment="1" applyProtection="1">
      <alignment horizontal="center"/>
    </xf>
    <xf numFmtId="2" fontId="34" fillId="0" borderId="0" xfId="1" applyNumberFormat="1" applyFont="1" applyBorder="1" applyAlignment="1" applyProtection="1">
      <alignment horizontal="left" vertical="center" indent="1"/>
    </xf>
    <xf numFmtId="164" fontId="8" fillId="0" borderId="0" xfId="1" applyFont="1" applyBorder="1" applyProtection="1"/>
    <xf numFmtId="0" fontId="8" fillId="0" borderId="0" xfId="1" applyNumberFormat="1" applyFont="1" applyBorder="1" applyProtection="1"/>
    <xf numFmtId="9" fontId="8" fillId="0" borderId="0" xfId="128" applyFont="1" applyBorder="1" applyProtection="1"/>
    <xf numFmtId="0" fontId="8" fillId="0" borderId="32" xfId="0" applyFont="1" applyBorder="1"/>
    <xf numFmtId="1" fontId="8" fillId="0" borderId="0" xfId="1" applyNumberFormat="1" applyFont="1" applyBorder="1" applyProtection="1"/>
    <xf numFmtId="0" fontId="8" fillId="0" borderId="33" xfId="0" applyFont="1" applyBorder="1"/>
    <xf numFmtId="0" fontId="8" fillId="0" borderId="2" xfId="1" applyNumberFormat="1" applyFont="1" applyBorder="1" applyProtection="1"/>
    <xf numFmtId="0" fontId="10" fillId="0" borderId="4" xfId="0" applyFont="1" applyBorder="1"/>
    <xf numFmtId="0" fontId="8" fillId="0" borderId="4" xfId="0" applyFont="1" applyBorder="1" applyAlignment="1">
      <alignment horizontal="right"/>
    </xf>
    <xf numFmtId="1" fontId="8" fillId="0" borderId="4" xfId="1" applyNumberFormat="1" applyFont="1" applyBorder="1" applyProtection="1"/>
    <xf numFmtId="1" fontId="8" fillId="0" borderId="4" xfId="0" applyNumberFormat="1" applyFont="1" applyBorder="1"/>
    <xf numFmtId="0" fontId="8" fillId="0" borderId="4" xfId="1" applyNumberFormat="1" applyFont="1" applyBorder="1" applyProtection="1"/>
    <xf numFmtId="1" fontId="8" fillId="0" borderId="4" xfId="0" applyNumberFormat="1" applyFont="1" applyBorder="1" applyAlignment="1">
      <alignment horizontal="right"/>
    </xf>
    <xf numFmtId="0" fontId="8" fillId="0" borderId="34" xfId="0" applyFont="1" applyBorder="1"/>
    <xf numFmtId="12" fontId="34" fillId="0" borderId="0" xfId="0" applyNumberFormat="1" applyFont="1" applyAlignment="1">
      <alignment horizontal="left"/>
    </xf>
    <xf numFmtId="12" fontId="34" fillId="0" borderId="0" xfId="0" applyNumberFormat="1" applyFont="1" applyAlignment="1">
      <alignment horizontal="right"/>
    </xf>
    <xf numFmtId="12" fontId="34" fillId="0" borderId="0" xfId="0" applyNumberFormat="1" applyFont="1" applyAlignment="1">
      <alignment horizontal="left" vertical="center"/>
    </xf>
    <xf numFmtId="12" fontId="34" fillId="0" borderId="0" xfId="0" applyNumberFormat="1" applyFont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12" fontId="8" fillId="0" borderId="4" xfId="0" applyNumberFormat="1" applyFont="1" applyBorder="1" applyAlignment="1" applyProtection="1">
      <alignment horizontal="center" vertical="center"/>
      <protection locked="0"/>
    </xf>
    <xf numFmtId="12" fontId="8" fillId="0" borderId="4" xfId="0" applyNumberFormat="1" applyFont="1" applyBorder="1" applyAlignment="1">
      <alignment horizontal="center" vertical="center"/>
    </xf>
    <xf numFmtId="12" fontId="8" fillId="0" borderId="9" xfId="0" applyNumberFormat="1" applyFont="1" applyBorder="1" applyAlignment="1">
      <alignment horizontal="center" vertical="center"/>
    </xf>
    <xf numFmtId="12" fontId="8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38" xfId="1" applyFont="1" applyBorder="1" applyAlignment="1" applyProtection="1">
      <alignment horizontal="center"/>
    </xf>
    <xf numFmtId="1" fontId="13" fillId="0" borderId="39" xfId="1" applyNumberFormat="1" applyFont="1" applyBorder="1" applyAlignment="1" applyProtection="1">
      <alignment horizontal="center"/>
    </xf>
    <xf numFmtId="1" fontId="47" fillId="9" borderId="27" xfId="1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10" fillId="0" borderId="15" xfId="0" applyFont="1" applyBorder="1" applyAlignment="1" applyProtection="1">
      <alignment horizontal="right"/>
      <protection locked="0"/>
    </xf>
    <xf numFmtId="0" fontId="10" fillId="0" borderId="11" xfId="0" applyFont="1" applyBorder="1" applyAlignment="1">
      <alignment horizontal="right"/>
    </xf>
    <xf numFmtId="1" fontId="8" fillId="0" borderId="25" xfId="1" applyNumberFormat="1" applyFont="1" applyBorder="1" applyAlignment="1" applyProtection="1">
      <alignment horizontal="center"/>
    </xf>
    <xf numFmtId="1" fontId="14" fillId="0" borderId="39" xfId="1" applyNumberFormat="1" applyFont="1" applyBorder="1" applyAlignment="1" applyProtection="1">
      <alignment horizontal="center"/>
    </xf>
    <xf numFmtId="164" fontId="31" fillId="9" borderId="27" xfId="1" applyFont="1" applyFill="1" applyBorder="1" applyAlignment="1" applyProtection="1">
      <alignment horizontal="center"/>
    </xf>
    <xf numFmtId="1" fontId="10" fillId="0" borderId="0" xfId="0" applyNumberFormat="1" applyFont="1" applyAlignment="1">
      <alignment horizontal="left" textRotation="25"/>
    </xf>
    <xf numFmtId="0" fontId="48" fillId="0" borderId="0" xfId="0" applyFont="1" applyAlignment="1">
      <alignment vertical="center"/>
    </xf>
    <xf numFmtId="0" fontId="51" fillId="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19" fillId="0" borderId="0" xfId="0" applyFont="1" applyAlignment="1">
      <alignment horizontal="left" vertical="center" indent="2"/>
    </xf>
    <xf numFmtId="0" fontId="53" fillId="0" borderId="0" xfId="0" applyFont="1"/>
    <xf numFmtId="0" fontId="36" fillId="0" borderId="28" xfId="0" applyFon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52" fillId="0" borderId="31" xfId="0" applyFont="1" applyBorder="1" applyAlignment="1">
      <alignment horizontal="left"/>
    </xf>
    <xf numFmtId="0" fontId="0" fillId="0" borderId="1" xfId="0" applyBorder="1"/>
    <xf numFmtId="0" fontId="19" fillId="0" borderId="31" xfId="0" applyFont="1" applyBorder="1" applyAlignment="1">
      <alignment horizontal="left"/>
    </xf>
    <xf numFmtId="0" fontId="52" fillId="0" borderId="3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12" fontId="34" fillId="0" borderId="0" xfId="0" applyNumberFormat="1" applyFont="1"/>
    <xf numFmtId="1" fontId="10" fillId="0" borderId="0" xfId="0" applyNumberFormat="1" applyFont="1" applyAlignment="1">
      <alignment horizontal="center" textRotation="31"/>
    </xf>
    <xf numFmtId="166" fontId="11" fillId="0" borderId="7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 vertical="center"/>
      <protection locked="0"/>
    </xf>
    <xf numFmtId="166" fontId="8" fillId="0" borderId="0" xfId="0" applyNumberFormat="1" applyFont="1" applyAlignment="1" applyProtection="1">
      <alignment vertical="center"/>
      <protection locked="0"/>
    </xf>
    <xf numFmtId="1" fontId="13" fillId="0" borderId="4" xfId="1" applyNumberFormat="1" applyFont="1" applyBorder="1" applyAlignment="1" applyProtection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31" fillId="9" borderId="4" xfId="1" applyNumberFormat="1" applyFont="1" applyFill="1" applyBorder="1" applyAlignment="1" applyProtection="1">
      <alignment horizontal="center" vertical="center"/>
      <protection locked="0"/>
    </xf>
    <xf numFmtId="2" fontId="31" fillId="9" borderId="11" xfId="1" applyNumberFormat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left"/>
    </xf>
    <xf numFmtId="0" fontId="8" fillId="0" borderId="4" xfId="1" applyNumberFormat="1" applyFont="1" applyBorder="1" applyAlignment="1" applyProtection="1">
      <alignment horizontal="left"/>
    </xf>
    <xf numFmtId="1" fontId="8" fillId="0" borderId="4" xfId="0" applyNumberFormat="1" applyFont="1" applyBorder="1" applyAlignment="1">
      <alignment horizontal="left"/>
    </xf>
    <xf numFmtId="166" fontId="8" fillId="0" borderId="31" xfId="0" applyNumberFormat="1" applyFont="1" applyBorder="1"/>
    <xf numFmtId="166" fontId="8" fillId="0" borderId="1" xfId="0" applyNumberFormat="1" applyFont="1" applyBorder="1"/>
    <xf numFmtId="166" fontId="8" fillId="0" borderId="32" xfId="0" applyNumberFormat="1" applyFont="1" applyBorder="1"/>
    <xf numFmtId="166" fontId="8" fillId="0" borderId="34" xfId="0" applyNumberFormat="1" applyFont="1" applyBorder="1"/>
    <xf numFmtId="166" fontId="8" fillId="0" borderId="33" xfId="0" applyNumberFormat="1" applyFont="1" applyBorder="1"/>
    <xf numFmtId="1" fontId="8" fillId="0" borderId="2" xfId="1" applyNumberFormat="1" applyFont="1" applyBorder="1" applyProtection="1"/>
    <xf numFmtId="166" fontId="8" fillId="0" borderId="2" xfId="0" applyNumberFormat="1" applyFont="1" applyBorder="1"/>
    <xf numFmtId="166" fontId="8" fillId="0" borderId="3" xfId="0" applyNumberFormat="1" applyFont="1" applyBorder="1"/>
    <xf numFmtId="166" fontId="8" fillId="0" borderId="28" xfId="0" applyNumberFormat="1" applyFont="1" applyBorder="1"/>
    <xf numFmtId="166" fontId="8" fillId="0" borderId="29" xfId="0" applyNumberFormat="1" applyFont="1" applyBorder="1"/>
    <xf numFmtId="166" fontId="8" fillId="0" borderId="30" xfId="0" applyNumberFormat="1" applyFont="1" applyBorder="1"/>
    <xf numFmtId="166" fontId="8" fillId="0" borderId="31" xfId="0" applyNumberFormat="1" applyFont="1" applyBorder="1" applyProtection="1">
      <protection locked="0"/>
    </xf>
    <xf numFmtId="166" fontId="8" fillId="0" borderId="1" xfId="0" applyNumberFormat="1" applyFont="1" applyBorder="1" applyProtection="1">
      <protection locked="0"/>
    </xf>
    <xf numFmtId="166" fontId="8" fillId="0" borderId="33" xfId="0" applyNumberFormat="1" applyFont="1" applyBorder="1" applyProtection="1">
      <protection locked="0"/>
    </xf>
    <xf numFmtId="166" fontId="8" fillId="0" borderId="2" xfId="0" applyNumberFormat="1" applyFont="1" applyBorder="1" applyProtection="1">
      <protection locked="0"/>
    </xf>
    <xf numFmtId="166" fontId="8" fillId="0" borderId="3" xfId="0" applyNumberFormat="1" applyFont="1" applyBorder="1" applyProtection="1">
      <protection locked="0"/>
    </xf>
    <xf numFmtId="3" fontId="31" fillId="9" borderId="4" xfId="1" applyNumberFormat="1" applyFont="1" applyFill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9" fontId="0" fillId="0" borderId="0" xfId="0" applyNumberFormat="1"/>
    <xf numFmtId="166" fontId="0" fillId="0" borderId="0" xfId="0" applyNumberFormat="1"/>
    <xf numFmtId="170" fontId="0" fillId="0" borderId="0" xfId="0" applyNumberFormat="1"/>
    <xf numFmtId="0" fontId="45" fillId="0" borderId="5" xfId="0" applyFont="1" applyBorder="1" applyAlignment="1">
      <alignment horizontal="center" vertical="center"/>
    </xf>
    <xf numFmtId="166" fontId="0" fillId="0" borderId="6" xfId="0" applyNumberFormat="1" applyBorder="1"/>
    <xf numFmtId="0" fontId="45" fillId="0" borderId="7" xfId="0" applyFont="1" applyBorder="1" applyAlignment="1">
      <alignment horizontal="center" vertical="center"/>
    </xf>
    <xf numFmtId="0" fontId="0" fillId="0" borderId="7" xfId="0" applyBorder="1"/>
    <xf numFmtId="0" fontId="45" fillId="0" borderId="7" xfId="0" applyFont="1" applyBorder="1" applyAlignment="1">
      <alignment horizontal="center"/>
    </xf>
    <xf numFmtId="0" fontId="0" fillId="0" borderId="31" xfId="0" applyBorder="1"/>
    <xf numFmtId="2" fontId="4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5" fillId="0" borderId="6" xfId="0" applyFont="1" applyBorder="1"/>
    <xf numFmtId="166" fontId="45" fillId="0" borderId="6" xfId="0" applyNumberFormat="1" applyFont="1" applyBorder="1"/>
    <xf numFmtId="166" fontId="45" fillId="0" borderId="19" xfId="0" applyNumberFormat="1" applyFont="1" applyBorder="1"/>
    <xf numFmtId="166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55" fillId="9" borderId="4" xfId="1" applyNumberFormat="1" applyFont="1" applyFill="1" applyBorder="1" applyAlignment="1" applyProtection="1">
      <alignment horizontal="center" vertical="center"/>
      <protection locked="0"/>
    </xf>
    <xf numFmtId="12" fontId="32" fillId="0" borderId="0" xfId="0" applyNumberFormat="1" applyFont="1" applyAlignment="1">
      <alignment horizontal="left" indent="1"/>
    </xf>
    <xf numFmtId="166" fontId="13" fillId="0" borderId="0" xfId="1" applyNumberFormat="1" applyFont="1" applyBorder="1" applyAlignment="1" applyProtection="1">
      <alignment horizontal="center"/>
    </xf>
    <xf numFmtId="0" fontId="10" fillId="0" borderId="47" xfId="0" applyFont="1" applyBorder="1"/>
    <xf numFmtId="0" fontId="8" fillId="0" borderId="47" xfId="0" applyFont="1" applyBorder="1"/>
    <xf numFmtId="0" fontId="8" fillId="0" borderId="48" xfId="0" applyFont="1" applyBorder="1"/>
    <xf numFmtId="164" fontId="8" fillId="0" borderId="2" xfId="1" applyFont="1" applyBorder="1" applyProtection="1"/>
    <xf numFmtId="0" fontId="10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 applyAlignment="1">
      <alignment horizontal="right"/>
    </xf>
    <xf numFmtId="0" fontId="10" fillId="0" borderId="18" xfId="0" applyFont="1" applyBorder="1"/>
    <xf numFmtId="0" fontId="10" fillId="0" borderId="28" xfId="0" applyFont="1" applyBorder="1" applyAlignment="1">
      <alignment horizontal="right"/>
    </xf>
    <xf numFmtId="12" fontId="8" fillId="0" borderId="29" xfId="0" applyNumberFormat="1" applyFont="1" applyBorder="1" applyAlignment="1">
      <alignment horizontal="center"/>
    </xf>
    <xf numFmtId="166" fontId="13" fillId="0" borderId="29" xfId="1" applyNumberFormat="1" applyFont="1" applyBorder="1" applyAlignment="1" applyProtection="1">
      <alignment horizontal="center"/>
    </xf>
    <xf numFmtId="0" fontId="10" fillId="0" borderId="29" xfId="0" applyFont="1" applyBorder="1" applyAlignment="1">
      <alignment horizontal="right"/>
    </xf>
    <xf numFmtId="2" fontId="8" fillId="0" borderId="29" xfId="1" applyNumberFormat="1" applyFont="1" applyBorder="1" applyAlignment="1" applyProtection="1">
      <alignment horizontal="center"/>
    </xf>
    <xf numFmtId="0" fontId="8" fillId="0" borderId="3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1" xfId="0" applyFont="1" applyBorder="1" applyProtection="1">
      <protection locked="0"/>
    </xf>
    <xf numFmtId="164" fontId="8" fillId="0" borderId="0" xfId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3" xfId="0" applyFont="1" applyBorder="1" applyProtection="1">
      <protection locked="0"/>
    </xf>
    <xf numFmtId="164" fontId="8" fillId="0" borderId="2" xfId="1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34" fillId="9" borderId="27" xfId="0" applyFont="1" applyFill="1" applyBorder="1" applyAlignment="1" applyProtection="1">
      <alignment horizontal="center" vertical="center"/>
      <protection locked="0"/>
    </xf>
    <xf numFmtId="0" fontId="50" fillId="9" borderId="4" xfId="0" applyFont="1" applyFill="1" applyBorder="1" applyAlignment="1" applyProtection="1">
      <alignment horizontal="center" vertical="center"/>
      <protection locked="0"/>
    </xf>
    <xf numFmtId="0" fontId="54" fillId="0" borderId="4" xfId="0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0" fillId="9" borderId="9" xfId="0" applyFont="1" applyFill="1" applyBorder="1" applyAlignment="1" applyProtection="1">
      <alignment horizontal="center" vertical="center"/>
      <protection locked="0"/>
    </xf>
    <xf numFmtId="2" fontId="14" fillId="0" borderId="4" xfId="1" applyNumberFormat="1" applyFont="1" applyBorder="1" applyAlignment="1" applyProtection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10" fillId="0" borderId="0" xfId="0" applyNumberFormat="1" applyFont="1" applyAlignment="1">
      <alignment horizontal="left" textRotation="27"/>
    </xf>
    <xf numFmtId="0" fontId="10" fillId="0" borderId="0" xfId="0" applyFont="1" applyAlignment="1">
      <alignment horizontal="right" vertical="top"/>
    </xf>
    <xf numFmtId="1" fontId="8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right" vertical="top"/>
    </xf>
    <xf numFmtId="12" fontId="20" fillId="0" borderId="0" xfId="0" applyNumberFormat="1" applyFont="1" applyAlignment="1">
      <alignment horizontal="left" indent="1"/>
    </xf>
    <xf numFmtId="1" fontId="13" fillId="0" borderId="0" xfId="1" applyNumberFormat="1" applyFont="1" applyBorder="1" applyAlignment="1" applyProtection="1">
      <alignment horizontal="center"/>
    </xf>
    <xf numFmtId="166" fontId="8" fillId="0" borderId="0" xfId="1" applyNumberFormat="1" applyFont="1" applyBorder="1" applyAlignment="1" applyProtection="1">
      <alignment horizontal="center"/>
    </xf>
    <xf numFmtId="0" fontId="49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167" fontId="31" fillId="9" borderId="4" xfId="1" applyNumberFormat="1" applyFont="1" applyFill="1" applyBorder="1" applyAlignment="1" applyProtection="1">
      <alignment horizontal="center" vertical="center"/>
      <protection locked="0"/>
    </xf>
    <xf numFmtId="1" fontId="14" fillId="0" borderId="0" xfId="1" applyNumberFormat="1" applyFont="1" applyBorder="1" applyAlignment="1" applyProtection="1">
      <alignment horizontal="center"/>
    </xf>
    <xf numFmtId="12" fontId="20" fillId="0" borderId="27" xfId="0" applyNumberFormat="1" applyFont="1" applyBorder="1" applyAlignment="1">
      <alignment horizontal="left" indent="1"/>
    </xf>
    <xf numFmtId="1" fontId="14" fillId="0" borderId="29" xfId="1" applyNumberFormat="1" applyFont="1" applyBorder="1" applyAlignment="1" applyProtection="1">
      <alignment horizontal="center"/>
    </xf>
    <xf numFmtId="166" fontId="8" fillId="0" borderId="29" xfId="1" applyNumberFormat="1" applyFont="1" applyBorder="1" applyAlignment="1" applyProtection="1">
      <alignment horizontal="center"/>
    </xf>
    <xf numFmtId="0" fontId="10" fillId="0" borderId="31" xfId="0" applyFont="1" applyBorder="1" applyAlignment="1">
      <alignment horizontal="right"/>
    </xf>
    <xf numFmtId="164" fontId="8" fillId="0" borderId="0" xfId="1" applyFont="1" applyBorder="1"/>
    <xf numFmtId="166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0" borderId="4" xfId="0" applyFont="1" applyBorder="1"/>
    <xf numFmtId="0" fontId="19" fillId="0" borderId="6" xfId="0" applyFont="1" applyBorder="1"/>
    <xf numFmtId="0" fontId="19" fillId="0" borderId="19" xfId="0" applyFont="1" applyBorder="1"/>
    <xf numFmtId="0" fontId="19" fillId="0" borderId="7" xfId="0" applyFont="1" applyBorder="1"/>
    <xf numFmtId="0" fontId="19" fillId="0" borderId="20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46" xfId="0" applyFont="1" applyBorder="1"/>
    <xf numFmtId="0" fontId="19" fillId="0" borderId="5" xfId="0" applyFont="1" applyBorder="1"/>
    <xf numFmtId="0" fontId="18" fillId="0" borderId="28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59" fillId="0" borderId="4" xfId="0" applyFont="1" applyBorder="1" applyAlignment="1">
      <alignment horizontal="center" vertical="center"/>
    </xf>
    <xf numFmtId="0" fontId="59" fillId="0" borderId="4" xfId="0" applyFont="1" applyBorder="1"/>
    <xf numFmtId="0" fontId="59" fillId="0" borderId="20" xfId="0" applyFont="1" applyBorder="1" applyAlignment="1">
      <alignment horizontal="center"/>
    </xf>
    <xf numFmtId="0" fontId="59" fillId="0" borderId="9" xfId="0" applyFont="1" applyBorder="1" applyAlignment="1">
      <alignment horizontal="center" vertical="center"/>
    </xf>
    <xf numFmtId="0" fontId="59" fillId="0" borderId="9" xfId="0" applyFont="1" applyBorder="1"/>
    <xf numFmtId="0" fontId="59" fillId="0" borderId="46" xfId="0" applyFont="1" applyBorder="1" applyAlignment="1">
      <alignment horizontal="center"/>
    </xf>
    <xf numFmtId="0" fontId="59" fillId="0" borderId="39" xfId="0" applyFont="1" applyBorder="1" applyAlignment="1">
      <alignment horizontal="center" vertical="center"/>
    </xf>
    <xf numFmtId="0" fontId="59" fillId="0" borderId="39" xfId="0" applyFont="1" applyBorder="1"/>
    <xf numFmtId="0" fontId="59" fillId="0" borderId="50" xfId="0" applyFont="1" applyBorder="1" applyAlignment="1">
      <alignment horizontal="center"/>
    </xf>
    <xf numFmtId="0" fontId="59" fillId="0" borderId="51" xfId="0" applyFont="1" applyBorder="1" applyAlignment="1">
      <alignment horizontal="center" vertical="center"/>
    </xf>
    <xf numFmtId="0" fontId="59" fillId="0" borderId="51" xfId="0" applyFont="1" applyBorder="1" applyAlignment="1">
      <alignment horizontal="left" vertical="center"/>
    </xf>
    <xf numFmtId="0" fontId="59" fillId="0" borderId="52" xfId="0" applyFont="1" applyBorder="1" applyAlignment="1">
      <alignment horizontal="center" vertical="center" wrapText="1"/>
    </xf>
    <xf numFmtId="1" fontId="47" fillId="9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29" xfId="0" quotePrefix="1" applyFont="1" applyBorder="1" applyAlignment="1">
      <alignment horizontal="left" indent="1"/>
    </xf>
    <xf numFmtId="1" fontId="8" fillId="0" borderId="54" xfId="0" applyNumberFormat="1" applyFont="1" applyBorder="1" applyAlignment="1">
      <alignment horizontal="center"/>
    </xf>
    <xf numFmtId="1" fontId="8" fillId="0" borderId="5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quotePrefix="1" applyFont="1" applyBorder="1" applyAlignment="1">
      <alignment horizontal="left" indent="1"/>
    </xf>
    <xf numFmtId="0" fontId="10" fillId="0" borderId="29" xfId="0" applyFont="1" applyBorder="1"/>
    <xf numFmtId="1" fontId="8" fillId="0" borderId="2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 textRotation="30"/>
    </xf>
    <xf numFmtId="0" fontId="62" fillId="0" borderId="0" xfId="0" applyFont="1"/>
    <xf numFmtId="0" fontId="62" fillId="0" borderId="0" xfId="272" applyFont="1"/>
    <xf numFmtId="1" fontId="8" fillId="0" borderId="0" xfId="0" applyNumberFormat="1" applyFont="1" applyAlignment="1">
      <alignment textRotation="39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textRotation="30"/>
    </xf>
    <xf numFmtId="0" fontId="8" fillId="0" borderId="18" xfId="0" applyFont="1" applyBorder="1"/>
    <xf numFmtId="1" fontId="8" fillId="0" borderId="4" xfId="1" applyNumberFormat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1" fontId="14" fillId="0" borderId="0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0" fontId="34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/>
    <xf numFmtId="0" fontId="0" fillId="0" borderId="0" xfId="0" applyAlignment="1">
      <alignment vertical="center"/>
    </xf>
    <xf numFmtId="166" fontId="8" fillId="0" borderId="0" xfId="0" applyNumberFormat="1" applyFont="1" applyAlignment="1" applyProtection="1">
      <alignment horizontal="center"/>
      <protection locked="0"/>
    </xf>
    <xf numFmtId="0" fontId="46" fillId="9" borderId="45" xfId="0" applyFont="1" applyFill="1" applyBorder="1"/>
    <xf numFmtId="0" fontId="46" fillId="0" borderId="0" xfId="0" applyFont="1"/>
    <xf numFmtId="166" fontId="34" fillId="0" borderId="0" xfId="0" applyNumberFormat="1" applyFont="1"/>
    <xf numFmtId="1" fontId="10" fillId="0" borderId="0" xfId="0" applyNumberFormat="1" applyFont="1" applyAlignment="1">
      <alignment horizontal="right" textRotation="24"/>
    </xf>
    <xf numFmtId="0" fontId="15" fillId="0" borderId="4" xfId="0" applyFont="1" applyBorder="1"/>
    <xf numFmtId="1" fontId="8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8" fillId="0" borderId="6" xfId="0" applyFont="1" applyBorder="1"/>
    <xf numFmtId="0" fontId="8" fillId="0" borderId="19" xfId="0" applyFont="1" applyBorder="1"/>
    <xf numFmtId="0" fontId="10" fillId="0" borderId="7" xfId="0" applyFont="1" applyBorder="1"/>
    <xf numFmtId="0" fontId="10" fillId="0" borderId="20" xfId="0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0" fontId="10" fillId="0" borderId="8" xfId="0" applyFont="1" applyBorder="1"/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20" xfId="0" applyFont="1" applyBorder="1"/>
    <xf numFmtId="0" fontId="8" fillId="0" borderId="8" xfId="0" applyFont="1" applyBorder="1" applyAlignment="1">
      <alignment horizontal="right"/>
    </xf>
    <xf numFmtId="1" fontId="8" fillId="0" borderId="9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46" xfId="0" applyFont="1" applyBorder="1"/>
    <xf numFmtId="0" fontId="10" fillId="0" borderId="0" xfId="0" applyFont="1" applyAlignment="1">
      <alignment horizontal="center" vertical="center"/>
    </xf>
    <xf numFmtId="1" fontId="31" fillId="9" borderId="4" xfId="255" applyNumberFormat="1" applyFont="1" applyFill="1" applyBorder="1" applyAlignment="1" applyProtection="1">
      <alignment horizontal="center" vertical="center"/>
      <protection locked="0"/>
    </xf>
    <xf numFmtId="167" fontId="31" fillId="9" borderId="4" xfId="255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/>
    <xf numFmtId="0" fontId="31" fillId="0" borderId="0" xfId="0" applyFont="1"/>
    <xf numFmtId="1" fontId="13" fillId="0" borderId="0" xfId="255" applyNumberFormat="1" applyFont="1" applyBorder="1" applyAlignment="1">
      <alignment horizontal="center"/>
    </xf>
    <xf numFmtId="166" fontId="8" fillId="0" borderId="0" xfId="255" applyNumberFormat="1" applyFont="1" applyBorder="1" applyAlignment="1">
      <alignment horizontal="center"/>
    </xf>
    <xf numFmtId="0" fontId="29" fillId="0" borderId="0" xfId="0" applyFont="1"/>
    <xf numFmtId="0" fontId="8" fillId="0" borderId="0" xfId="255" applyNumberFormat="1" applyFont="1" applyBorder="1"/>
    <xf numFmtId="164" fontId="8" fillId="0" borderId="0" xfId="255" applyFont="1" applyBorder="1"/>
    <xf numFmtId="164" fontId="31" fillId="9" borderId="4" xfId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left" indent="1"/>
    </xf>
    <xf numFmtId="168" fontId="8" fillId="0" borderId="4" xfId="0" applyNumberFormat="1" applyFont="1" applyBorder="1" applyAlignment="1">
      <alignment horizontal="center"/>
    </xf>
    <xf numFmtId="9" fontId="8" fillId="0" borderId="4" xfId="128" applyFont="1" applyBorder="1" applyAlignment="1" applyProtection="1">
      <alignment horizontal="center"/>
    </xf>
    <xf numFmtId="0" fontId="8" fillId="0" borderId="4" xfId="1" applyNumberFormat="1" applyFont="1" applyBorder="1" applyAlignment="1" applyProtection="1">
      <alignment horizontal="center"/>
    </xf>
    <xf numFmtId="1" fontId="13" fillId="0" borderId="29" xfId="1" applyNumberFormat="1" applyFont="1" applyBorder="1" applyAlignment="1" applyProtection="1">
      <alignment horizontal="center"/>
    </xf>
    <xf numFmtId="0" fontId="57" fillId="0" borderId="31" xfId="0" applyFont="1" applyBorder="1" applyAlignment="1">
      <alignment horizontal="center" vertical="center" wrapText="1"/>
    </xf>
    <xf numFmtId="0" fontId="10" fillId="0" borderId="32" xfId="0" applyFont="1" applyBorder="1"/>
    <xf numFmtId="0" fontId="10" fillId="0" borderId="1" xfId="0" applyFont="1" applyBorder="1"/>
    <xf numFmtId="0" fontId="26" fillId="0" borderId="31" xfId="0" applyFont="1" applyBorder="1"/>
    <xf numFmtId="12" fontId="8" fillId="0" borderId="0" xfId="0" applyNumberFormat="1" applyFont="1" applyAlignment="1">
      <alignment horizontal="left" indent="1"/>
    </xf>
    <xf numFmtId="0" fontId="42" fillId="0" borderId="0" xfId="0" applyFont="1" applyAlignment="1">
      <alignment horizontal="right"/>
    </xf>
    <xf numFmtId="12" fontId="8" fillId="0" borderId="29" xfId="0" applyNumberFormat="1" applyFont="1" applyBorder="1" applyAlignment="1">
      <alignment horizontal="left" indent="1"/>
    </xf>
    <xf numFmtId="0" fontId="42" fillId="0" borderId="29" xfId="0" applyFont="1" applyBorder="1" applyAlignment="1">
      <alignment horizontal="right"/>
    </xf>
    <xf numFmtId="0" fontId="26" fillId="0" borderId="1" xfId="0" applyFont="1" applyBorder="1"/>
    <xf numFmtId="0" fontId="17" fillId="0" borderId="31" xfId="0" applyFont="1" applyBorder="1"/>
    <xf numFmtId="0" fontId="17" fillId="0" borderId="0" xfId="0" applyFont="1"/>
    <xf numFmtId="0" fontId="17" fillId="0" borderId="1" xfId="0" applyFont="1" applyBorder="1"/>
    <xf numFmtId="0" fontId="26" fillId="0" borderId="34" xfId="0" applyFont="1" applyBorder="1"/>
    <xf numFmtId="0" fontId="26" fillId="0" borderId="33" xfId="0" applyFont="1" applyBorder="1"/>
    <xf numFmtId="0" fontId="26" fillId="0" borderId="2" xfId="0" applyFont="1" applyBorder="1"/>
    <xf numFmtId="0" fontId="26" fillId="0" borderId="3" xfId="0" applyFont="1" applyBorder="1"/>
    <xf numFmtId="2" fontId="34" fillId="0" borderId="4" xfId="1" applyNumberFormat="1" applyFont="1" applyBorder="1" applyAlignment="1" applyProtection="1">
      <alignment horizontal="left" vertical="center" indent="1"/>
    </xf>
    <xf numFmtId="0" fontId="17" fillId="0" borderId="4" xfId="0" applyFont="1" applyBorder="1"/>
    <xf numFmtId="0" fontId="28" fillId="0" borderId="4" xfId="0" applyFont="1" applyBorder="1" applyAlignment="1">
      <alignment horizontal="right"/>
    </xf>
    <xf numFmtId="0" fontId="17" fillId="0" borderId="4" xfId="0" applyFont="1" applyBorder="1" applyAlignment="1">
      <alignment horizontal="left" indent="1"/>
    </xf>
    <xf numFmtId="0" fontId="17" fillId="0" borderId="4" xfId="0" applyFont="1" applyBorder="1" applyAlignment="1">
      <alignment horizontal="center"/>
    </xf>
    <xf numFmtId="1" fontId="1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top" textRotation="24"/>
    </xf>
    <xf numFmtId="1" fontId="10" fillId="0" borderId="4" xfId="1" applyNumberFormat="1" applyFont="1" applyFill="1" applyBorder="1" applyAlignment="1">
      <alignment horizontal="center"/>
    </xf>
    <xf numFmtId="1" fontId="13" fillId="0" borderId="0" xfId="1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12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horizontal="right" indent="1"/>
    </xf>
    <xf numFmtId="2" fontId="8" fillId="0" borderId="4" xfId="0" quotePrefix="1" applyNumberFormat="1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12" fontId="8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38" fillId="0" borderId="0" xfId="0" applyFont="1"/>
    <xf numFmtId="1" fontId="10" fillId="0" borderId="0" xfId="0" applyNumberFormat="1" applyFont="1" applyAlignment="1">
      <alignment horizontal="right" vertical="center"/>
    </xf>
    <xf numFmtId="0" fontId="8" fillId="0" borderId="4" xfId="1" applyNumberFormat="1" applyFont="1" applyBorder="1"/>
    <xf numFmtId="1" fontId="8" fillId="0" borderId="4" xfId="1" applyNumberFormat="1" applyFont="1" applyBorder="1"/>
    <xf numFmtId="1" fontId="13" fillId="0" borderId="29" xfId="1" applyNumberFormat="1" applyFont="1" applyBorder="1" applyAlignment="1">
      <alignment horizontal="center"/>
    </xf>
    <xf numFmtId="166" fontId="8" fillId="0" borderId="29" xfId="1" applyNumberFormat="1" applyFont="1" applyBorder="1" applyAlignment="1">
      <alignment horizontal="center"/>
    </xf>
    <xf numFmtId="0" fontId="25" fillId="0" borderId="30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34" fillId="0" borderId="0" xfId="0" quotePrefix="1" applyFont="1"/>
    <xf numFmtId="2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9" fontId="8" fillId="0" borderId="0" xfId="128" applyFont="1" applyBorder="1" applyAlignment="1">
      <alignment horizontal="center"/>
    </xf>
    <xf numFmtId="0" fontId="8" fillId="0" borderId="31" xfId="0" quotePrefix="1" applyFont="1" applyBorder="1" applyAlignment="1">
      <alignment horizontal="right"/>
    </xf>
    <xf numFmtId="2" fontId="34" fillId="0" borderId="0" xfId="1" applyNumberFormat="1" applyFont="1" applyBorder="1" applyAlignment="1">
      <alignment horizontal="left" vertical="center" indent="1"/>
    </xf>
    <xf numFmtId="0" fontId="8" fillId="0" borderId="0" xfId="1" applyNumberFormat="1" applyFont="1" applyBorder="1"/>
    <xf numFmtId="9" fontId="8" fillId="0" borderId="0" xfId="128" applyFont="1" applyBorder="1"/>
    <xf numFmtId="12" fontId="8" fillId="0" borderId="1" xfId="0" applyNumberFormat="1" applyFont="1" applyBorder="1" applyAlignment="1">
      <alignment horizontal="center"/>
    </xf>
    <xf numFmtId="1" fontId="8" fillId="0" borderId="0" xfId="1" applyNumberFormat="1" applyFont="1" applyBorder="1"/>
    <xf numFmtId="2" fontId="8" fillId="0" borderId="4" xfId="1" applyNumberFormat="1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2" fontId="8" fillId="0" borderId="0" xfId="1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33" fillId="0" borderId="0" xfId="0" applyFont="1" applyProtection="1">
      <protection locked="0"/>
    </xf>
    <xf numFmtId="164" fontId="34" fillId="9" borderId="4" xfId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9" fontId="17" fillId="0" borderId="4" xfId="0" applyNumberFormat="1" applyFont="1" applyBorder="1" applyAlignment="1">
      <alignment horizontal="center"/>
    </xf>
    <xf numFmtId="2" fontId="8" fillId="0" borderId="4" xfId="1" applyNumberFormat="1" applyFont="1" applyBorder="1" applyAlignment="1" applyProtection="1">
      <alignment horizontal="left" vertical="center"/>
    </xf>
    <xf numFmtId="0" fontId="8" fillId="0" borderId="27" xfId="0" applyFont="1" applyBorder="1" applyProtection="1">
      <protection locked="0"/>
    </xf>
    <xf numFmtId="0" fontId="8" fillId="0" borderId="0" xfId="1" applyNumberFormat="1" applyFont="1" applyBorder="1" applyAlignment="1" applyProtection="1">
      <alignment horizontal="center"/>
    </xf>
    <xf numFmtId="168" fontId="8" fillId="0" borderId="0" xfId="1" applyNumberFormat="1" applyFont="1" applyBorder="1" applyProtection="1"/>
    <xf numFmtId="1" fontId="8" fillId="0" borderId="9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left" vertical="top"/>
    </xf>
    <xf numFmtId="2" fontId="8" fillId="0" borderId="4" xfId="0" quotePrefix="1" applyNumberFormat="1" applyFont="1" applyBorder="1" applyAlignment="1">
      <alignment horizontal="center"/>
    </xf>
    <xf numFmtId="1" fontId="10" fillId="0" borderId="0" xfId="0" applyNumberFormat="1" applyFont="1" applyAlignment="1">
      <alignment horizontal="left" textRotation="30"/>
    </xf>
    <xf numFmtId="0" fontId="11" fillId="0" borderId="4" xfId="0" applyFont="1" applyBorder="1" applyAlignment="1">
      <alignment horizontal="right" vertical="center"/>
    </xf>
    <xf numFmtId="0" fontId="19" fillId="0" borderId="0" xfId="0" applyFont="1" applyAlignment="1">
      <alignment wrapText="1"/>
    </xf>
    <xf numFmtId="0" fontId="23" fillId="0" borderId="0" xfId="0" applyFont="1"/>
    <xf numFmtId="0" fontId="8" fillId="0" borderId="0" xfId="0" applyFont="1" applyAlignment="1">
      <alignment horizontal="center" vertical="center"/>
    </xf>
    <xf numFmtId="0" fontId="24" fillId="0" borderId="1" xfId="0" applyFont="1" applyBorder="1"/>
    <xf numFmtId="0" fontId="8" fillId="0" borderId="31" xfId="0" applyFont="1" applyBorder="1" applyAlignment="1">
      <alignment horizontal="left"/>
    </xf>
    <xf numFmtId="166" fontId="8" fillId="0" borderId="0" xfId="0" applyNumberFormat="1" applyFont="1" applyAlignment="1">
      <alignment horizontal="center"/>
    </xf>
    <xf numFmtId="0" fontId="31" fillId="9" borderId="27" xfId="0" applyFont="1" applyFill="1" applyBorder="1" applyAlignment="1" applyProtection="1">
      <alignment horizontal="center" vertical="center"/>
      <protection locked="0"/>
    </xf>
    <xf numFmtId="0" fontId="34" fillId="9" borderId="27" xfId="0" applyFont="1" applyFill="1" applyBorder="1" applyProtection="1">
      <protection locked="0"/>
    </xf>
    <xf numFmtId="0" fontId="8" fillId="0" borderId="2" xfId="0" applyFont="1" applyBorder="1" applyAlignment="1">
      <alignment horizontal="center"/>
    </xf>
    <xf numFmtId="0" fontId="34" fillId="9" borderId="27" xfId="0" applyFont="1" applyFill="1" applyBorder="1" applyAlignment="1" applyProtection="1">
      <alignment horizontal="center"/>
      <protection locked="0"/>
    </xf>
    <xf numFmtId="0" fontId="34" fillId="9" borderId="4" xfId="0" applyFont="1" applyFill="1" applyBorder="1" applyProtection="1">
      <protection locked="0"/>
    </xf>
    <xf numFmtId="0" fontId="34" fillId="9" borderId="9" xfId="0" applyFont="1" applyFill="1" applyBorder="1" applyProtection="1">
      <protection locked="0"/>
    </xf>
    <xf numFmtId="166" fontId="31" fillId="0" borderId="0" xfId="0" applyNumberFormat="1" applyFont="1" applyAlignment="1" applyProtection="1">
      <alignment horizontal="center" vertical="center"/>
      <protection locked="0"/>
    </xf>
    <xf numFmtId="166" fontId="8" fillId="0" borderId="27" xfId="0" applyNumberFormat="1" applyFont="1" applyBorder="1"/>
    <xf numFmtId="1" fontId="8" fillId="0" borderId="0" xfId="0" applyNumberFormat="1" applyFont="1" applyAlignment="1">
      <alignment horizontal="left" vertical="top"/>
    </xf>
    <xf numFmtId="1" fontId="10" fillId="0" borderId="0" xfId="0" applyNumberFormat="1" applyFont="1" applyAlignment="1">
      <alignment horizontal="center" textRotation="28"/>
    </xf>
    <xf numFmtId="1" fontId="10" fillId="0" borderId="0" xfId="0" applyNumberFormat="1" applyFont="1" applyAlignment="1">
      <alignment horizontal="left" textRotation="32"/>
    </xf>
    <xf numFmtId="1" fontId="31" fillId="0" borderId="0" xfId="0" applyNumberFormat="1" applyFont="1" applyAlignment="1">
      <alignment horizontal="left" textRotation="27"/>
    </xf>
    <xf numFmtId="1" fontId="31" fillId="0" borderId="0" xfId="0" applyNumberFormat="1" applyFont="1" applyAlignment="1">
      <alignment horizontal="right" textRotation="18"/>
    </xf>
    <xf numFmtId="1" fontId="31" fillId="0" borderId="0" xfId="0" applyNumberFormat="1" applyFont="1"/>
    <xf numFmtId="0" fontId="0" fillId="0" borderId="0" xfId="0" applyAlignment="1">
      <alignment wrapText="1"/>
    </xf>
    <xf numFmtId="1" fontId="65" fillId="0" borderId="0" xfId="0" applyNumberFormat="1" applyFont="1"/>
    <xf numFmtId="0" fontId="59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59" fillId="0" borderId="51" xfId="0" applyFont="1" applyBorder="1" applyAlignment="1">
      <alignment horizontal="center" vertical="center"/>
    </xf>
    <xf numFmtId="0" fontId="0" fillId="0" borderId="51" xfId="0" applyBorder="1"/>
    <xf numFmtId="0" fontId="59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8" fillId="0" borderId="35" xfId="0" applyFont="1" applyBorder="1"/>
    <xf numFmtId="0" fontId="0" fillId="0" borderId="53" xfId="0" applyBorder="1"/>
    <xf numFmtId="0" fontId="59" fillId="0" borderId="49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59" fillId="0" borderId="7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6" fontId="7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4" fontId="13" fillId="0" borderId="10" xfId="1" applyFont="1" applyBorder="1" applyAlignment="1" applyProtection="1">
      <alignment horizontal="center"/>
    </xf>
    <xf numFmtId="164" fontId="13" fillId="0" borderId="14" xfId="1" applyFont="1" applyBorder="1" applyAlignment="1" applyProtection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2" fontId="31" fillId="9" borderId="11" xfId="1" applyNumberFormat="1" applyFont="1" applyFill="1" applyBorder="1" applyAlignment="1" applyProtection="1">
      <alignment horizontal="center" vertical="center"/>
      <protection locked="0"/>
    </xf>
    <xf numFmtId="2" fontId="31" fillId="9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20" xfId="0" applyNumberFormat="1" applyFont="1" applyBorder="1" applyAlignment="1" applyProtection="1">
      <alignment horizontal="center" vertical="center"/>
      <protection locked="0"/>
    </xf>
    <xf numFmtId="166" fontId="13" fillId="0" borderId="11" xfId="1" applyNumberFormat="1" applyFont="1" applyBorder="1" applyAlignment="1" applyProtection="1">
      <alignment horizontal="center" vertical="center"/>
    </xf>
    <xf numFmtId="166" fontId="13" fillId="0" borderId="15" xfId="1" applyNumberFormat="1" applyFont="1" applyBorder="1" applyAlignment="1" applyProtection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wrapText="1"/>
    </xf>
    <xf numFmtId="166" fontId="8" fillId="0" borderId="0" xfId="0" applyNumberFormat="1" applyFont="1" applyAlignment="1">
      <alignment horizontal="center" wrapText="1"/>
    </xf>
    <xf numFmtId="166" fontId="8" fillId="0" borderId="1" xfId="0" applyNumberFormat="1" applyFont="1" applyBorder="1" applyAlignment="1">
      <alignment horizontal="center" wrapText="1"/>
    </xf>
    <xf numFmtId="166" fontId="8" fillId="0" borderId="21" xfId="0" applyNumberFormat="1" applyFont="1" applyBorder="1" applyAlignment="1">
      <alignment horizontal="center" wrapText="1"/>
    </xf>
    <xf numFmtId="166" fontId="8" fillId="0" borderId="2" xfId="0" applyNumberFormat="1" applyFont="1" applyBorder="1" applyAlignment="1">
      <alignment horizontal="center" wrapText="1"/>
    </xf>
    <xf numFmtId="166" fontId="8" fillId="0" borderId="3" xfId="0" applyNumberFormat="1" applyFont="1" applyBorder="1" applyAlignment="1">
      <alignment horizontal="center" wrapText="1"/>
    </xf>
    <xf numFmtId="0" fontId="15" fillId="0" borderId="29" xfId="0" applyFont="1" applyBorder="1" applyAlignment="1">
      <alignment horizontal="center"/>
    </xf>
    <xf numFmtId="0" fontId="58" fillId="9" borderId="43" xfId="0" applyFont="1" applyFill="1" applyBorder="1" applyAlignment="1">
      <alignment horizontal="center" vertical="center" wrapText="1"/>
    </xf>
    <xf numFmtId="0" fontId="46" fillId="9" borderId="44" xfId="0" applyFont="1" applyFill="1" applyBorder="1" applyAlignment="1">
      <alignment horizontal="center" vertical="center" wrapText="1"/>
    </xf>
    <xf numFmtId="0" fontId="46" fillId="9" borderId="4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6" fillId="9" borderId="43" xfId="0" applyFont="1" applyFill="1" applyBorder="1" applyAlignment="1">
      <alignment horizontal="center" vertical="center" wrapText="1"/>
    </xf>
    <xf numFmtId="0" fontId="57" fillId="9" borderId="44" xfId="0" applyFont="1" applyFill="1" applyBorder="1" applyAlignment="1">
      <alignment horizontal="center" vertical="center" wrapText="1"/>
    </xf>
    <xf numFmtId="0" fontId="57" fillId="9" borderId="4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3" fillId="0" borderId="11" xfId="1" applyNumberFormat="1" applyFont="1" applyBorder="1" applyAlignment="1" applyProtection="1">
      <alignment horizontal="center"/>
    </xf>
    <xf numFmtId="2" fontId="13" fillId="0" borderId="15" xfId="1" applyNumberFormat="1" applyFont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55" fillId="9" borderId="11" xfId="1" applyNumberFormat="1" applyFont="1" applyFill="1" applyBorder="1" applyAlignment="1" applyProtection="1">
      <alignment horizontal="center" vertical="center"/>
      <protection locked="0"/>
    </xf>
    <xf numFmtId="2" fontId="55" fillId="9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164" fontId="13" fillId="0" borderId="10" xfId="1" applyFont="1" applyBorder="1" applyAlignment="1" applyProtection="1">
      <alignment horizontal="center"/>
      <protection locked="0"/>
    </xf>
    <xf numFmtId="164" fontId="13" fillId="0" borderId="14" xfId="1" applyFont="1" applyBorder="1" applyAlignment="1" applyProtection="1">
      <alignment horizontal="center"/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165" fontId="8" fillId="0" borderId="19" xfId="0" applyNumberFormat="1" applyFont="1" applyBorder="1" applyAlignment="1" applyProtection="1">
      <alignment horizontal="center"/>
      <protection locked="0"/>
    </xf>
    <xf numFmtId="0" fontId="8" fillId="0" borderId="3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47" fillId="9" borderId="11" xfId="1" applyNumberFormat="1" applyFont="1" applyFill="1" applyBorder="1" applyAlignment="1" applyProtection="1">
      <alignment horizontal="center" vertical="center"/>
      <protection locked="0"/>
    </xf>
    <xf numFmtId="2" fontId="47" fillId="9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6" fontId="8" fillId="0" borderId="20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66" fontId="8" fillId="0" borderId="16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13" fillId="0" borderId="11" xfId="1" applyNumberFormat="1" applyFont="1" applyBorder="1" applyAlignment="1" applyProtection="1">
      <alignment horizontal="center"/>
    </xf>
    <xf numFmtId="166" fontId="13" fillId="0" borderId="15" xfId="1" applyNumberFormat="1" applyFont="1" applyBorder="1" applyAlignment="1" applyProtection="1">
      <alignment horizontal="center"/>
    </xf>
    <xf numFmtId="166" fontId="8" fillId="0" borderId="11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6" fontId="8" fillId="0" borderId="13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/>
    <xf numFmtId="166" fontId="8" fillId="0" borderId="0" xfId="0" applyNumberFormat="1" applyFont="1" applyProtection="1">
      <protection locked="0"/>
    </xf>
    <xf numFmtId="0" fontId="8" fillId="0" borderId="3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2" xfId="0" applyFont="1" applyBorder="1" applyAlignment="1" applyProtection="1">
      <alignment horizontal="left"/>
      <protection locked="0"/>
    </xf>
    <xf numFmtId="0" fontId="0" fillId="0" borderId="37" xfId="0" applyBorder="1"/>
    <xf numFmtId="0" fontId="8" fillId="0" borderId="31" xfId="0" applyFont="1" applyBorder="1" applyAlignment="1">
      <alignment wrapText="1"/>
    </xf>
    <xf numFmtId="0" fontId="0" fillId="0" borderId="0" xfId="0"/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3" fillId="0" borderId="10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2" fontId="11" fillId="0" borderId="11" xfId="1" applyNumberFormat="1" applyFont="1" applyBorder="1" applyAlignment="1">
      <alignment horizontal="center"/>
    </xf>
    <xf numFmtId="2" fontId="11" fillId="0" borderId="15" xfId="1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9" fillId="0" borderId="35" xfId="0" applyFont="1" applyBorder="1"/>
    <xf numFmtId="0" fontId="49" fillId="0" borderId="37" xfId="0" applyFont="1" applyBorder="1"/>
    <xf numFmtId="0" fontId="8" fillId="0" borderId="16" xfId="0" applyFont="1" applyBorder="1" applyAlignment="1">
      <alignment horizontal="left"/>
    </xf>
    <xf numFmtId="0" fontId="8" fillId="0" borderId="0" xfId="0" applyFont="1" applyAlignment="1">
      <alignment horizontal="left"/>
    </xf>
    <xf numFmtId="164" fontId="13" fillId="0" borderId="10" xfId="255" applyFont="1" applyBorder="1" applyAlignment="1">
      <alignment horizontal="center"/>
    </xf>
    <xf numFmtId="164" fontId="13" fillId="0" borderId="14" xfId="255" applyFont="1" applyBorder="1" applyAlignment="1">
      <alignment horizontal="center"/>
    </xf>
    <xf numFmtId="2" fontId="31" fillId="9" borderId="11" xfId="255" applyNumberFormat="1" applyFont="1" applyFill="1" applyBorder="1" applyAlignment="1" applyProtection="1">
      <alignment horizontal="center" vertical="center"/>
      <protection locked="0"/>
    </xf>
    <xf numFmtId="2" fontId="31" fillId="9" borderId="15" xfId="255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/>
    </xf>
    <xf numFmtId="2" fontId="10" fillId="0" borderId="11" xfId="255" applyNumberFormat="1" applyFont="1" applyBorder="1" applyAlignment="1">
      <alignment horizontal="center"/>
    </xf>
    <xf numFmtId="2" fontId="10" fillId="0" borderId="15" xfId="255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2" fillId="0" borderId="11" xfId="1" applyNumberFormat="1" applyFont="1" applyBorder="1" applyAlignment="1" applyProtection="1">
      <alignment horizontal="center"/>
    </xf>
    <xf numFmtId="2" fontId="12" fillId="0" borderId="15" xfId="1" applyNumberFormat="1" applyFont="1" applyBorder="1" applyAlignment="1" applyProtection="1">
      <alignment horizontal="center"/>
    </xf>
    <xf numFmtId="0" fontId="6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64" fillId="0" borderId="0" xfId="0" applyFont="1"/>
    <xf numFmtId="2" fontId="12" fillId="0" borderId="11" xfId="1" applyNumberFormat="1" applyFont="1" applyBorder="1" applyAlignment="1" applyProtection="1">
      <alignment horizontal="center"/>
      <protection locked="0"/>
    </xf>
    <xf numFmtId="2" fontId="12" fillId="0" borderId="15" xfId="1" applyNumberFormat="1" applyFont="1" applyBorder="1" applyAlignment="1" applyProtection="1">
      <alignment horizontal="center"/>
      <protection locked="0"/>
    </xf>
    <xf numFmtId="2" fontId="11" fillId="0" borderId="23" xfId="1" applyNumberFormat="1" applyFont="1" applyBorder="1" applyAlignment="1" applyProtection="1">
      <alignment horizontal="center"/>
      <protection locked="0"/>
    </xf>
    <xf numFmtId="2" fontId="11" fillId="0" borderId="42" xfId="1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4" fontId="13" fillId="0" borderId="40" xfId="1" applyFont="1" applyBorder="1" applyAlignment="1" applyProtection="1">
      <alignment horizontal="center"/>
    </xf>
    <xf numFmtId="164" fontId="13" fillId="0" borderId="41" xfId="1" applyFont="1" applyBorder="1" applyAlignment="1" applyProtection="1">
      <alignment horizontal="center"/>
    </xf>
    <xf numFmtId="165" fontId="8" fillId="0" borderId="10" xfId="0" applyNumberFormat="1" applyFont="1" applyBorder="1" applyAlignment="1">
      <alignment horizontal="center"/>
    </xf>
    <xf numFmtId="164" fontId="47" fillId="9" borderId="35" xfId="1" applyFont="1" applyFill="1" applyBorder="1" applyAlignment="1" applyProtection="1">
      <alignment horizontal="center" vertical="center"/>
      <protection locked="0"/>
    </xf>
    <xf numFmtId="164" fontId="47" fillId="9" borderId="37" xfId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2" fontId="11" fillId="0" borderId="11" xfId="1" applyNumberFormat="1" applyFont="1" applyBorder="1" applyAlignment="1" applyProtection="1">
      <alignment horizontal="center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1" fillId="9" borderId="11" xfId="1" applyNumberFormat="1" applyFont="1" applyFill="1" applyBorder="1" applyAlignment="1" applyProtection="1">
      <alignment horizontal="center" vertical="center"/>
    </xf>
    <xf numFmtId="2" fontId="31" fillId="9" borderId="15" xfId="1" applyNumberFormat="1" applyFont="1" applyFill="1" applyBorder="1" applyAlignment="1" applyProtection="1">
      <alignment horizontal="center" vertical="center"/>
    </xf>
    <xf numFmtId="2" fontId="34" fillId="9" borderId="11" xfId="1" applyNumberFormat="1" applyFont="1" applyFill="1" applyBorder="1" applyAlignment="1" applyProtection="1">
      <alignment horizontal="center" vertical="center"/>
      <protection locked="0"/>
    </xf>
    <xf numFmtId="2" fontId="34" fillId="9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left" vertical="top" textRotation="30"/>
    </xf>
  </cellXfs>
  <cellStyles count="273">
    <cellStyle name="Comma" xfId="1" builtinId="3"/>
    <cellStyle name="Comma 2" xfId="255" xr:uid="{00000000-0005-0000-0000-000001000000}"/>
    <cellStyle name="Followed Hyperlink" xfId="107" builtinId="9" hidden="1"/>
    <cellStyle name="Followed Hyperlink" xfId="67" builtinId="9" hidden="1"/>
    <cellStyle name="Followed Hyperlink" xfId="123" builtinId="9" hidden="1"/>
    <cellStyle name="Followed Hyperlink" xfId="234" builtinId="9" hidden="1"/>
    <cellStyle name="Followed Hyperlink" xfId="228" builtinId="9" hidden="1"/>
    <cellStyle name="Followed Hyperlink" xfId="210" builtinId="9" hidden="1"/>
    <cellStyle name="Followed Hyperlink" xfId="257" builtinId="9" hidden="1"/>
    <cellStyle name="Followed Hyperlink" xfId="265" builtinId="9" hidden="1"/>
    <cellStyle name="Followed Hyperlink" xfId="271" builtinId="9" hidden="1"/>
    <cellStyle name="Followed Hyperlink" xfId="263" builtinId="9" hidden="1"/>
    <cellStyle name="Followed Hyperlink" xfId="254" builtinId="9" hidden="1"/>
    <cellStyle name="Followed Hyperlink" xfId="226" builtinId="9" hidden="1"/>
    <cellStyle name="Followed Hyperlink" xfId="236" builtinId="9" hidden="1"/>
    <cellStyle name="Followed Hyperlink" xfId="220" builtinId="9" hidden="1"/>
    <cellStyle name="Followed Hyperlink" xfId="91" builtinId="9" hidden="1"/>
    <cellStyle name="Followed Hyperlink" xfId="75" builtinId="9" hidden="1"/>
    <cellStyle name="Followed Hyperlink" xfId="115" builtinId="9" hidden="1"/>
    <cellStyle name="Followed Hyperlink" xfId="164" builtinId="9" hidden="1"/>
    <cellStyle name="Followed Hyperlink" xfId="204" builtinId="9" hidden="1"/>
    <cellStyle name="Followed Hyperlink" xfId="59" builtinId="9" hidden="1"/>
    <cellStyle name="Followed Hyperlink" xfId="9" builtinId="9" hidden="1"/>
    <cellStyle name="Followed Hyperlink" xfId="47" builtinId="9" hidden="1"/>
    <cellStyle name="Followed Hyperlink" xfId="29" builtinId="9" hidden="1"/>
    <cellStyle name="Followed Hyperlink" xfId="119" builtinId="9" hidden="1"/>
    <cellStyle name="Followed Hyperlink" xfId="184" builtinId="9" hidden="1"/>
    <cellStyle name="Followed Hyperlink" xfId="248" builtinId="9" hidden="1"/>
    <cellStyle name="Followed Hyperlink" xfId="113" builtinId="9" hidden="1"/>
    <cellStyle name="Followed Hyperlink" xfId="154" builtinId="9" hidden="1"/>
    <cellStyle name="Followed Hyperlink" xfId="190" builtinId="9" hidden="1"/>
    <cellStyle name="Followed Hyperlink" xfId="97" builtinId="9" hidden="1"/>
    <cellStyle name="Followed Hyperlink" xfId="69" builtinId="9" hidden="1"/>
    <cellStyle name="Followed Hyperlink" xfId="89" builtinId="9" hidden="1"/>
    <cellStyle name="Followed Hyperlink" xfId="194" builtinId="9" hidden="1"/>
    <cellStyle name="Followed Hyperlink" xfId="150" builtinId="9" hidden="1"/>
    <cellStyle name="Followed Hyperlink" xfId="45" builtinId="9" hidden="1"/>
    <cellStyle name="Followed Hyperlink" xfId="79" builtinId="9" hidden="1"/>
    <cellStyle name="Followed Hyperlink" xfId="127" builtinId="9" hidden="1"/>
    <cellStyle name="Followed Hyperlink" xfId="160" builtinId="9" hidden="1"/>
    <cellStyle name="Followed Hyperlink" xfId="208" builtinId="9" hidden="1"/>
    <cellStyle name="Followed Hyperlink" xfId="246" builtinId="9" hidden="1"/>
    <cellStyle name="Followed Hyperlink" xfId="214" builtinId="9" hidden="1"/>
    <cellStyle name="Followed Hyperlink" xfId="130" builtinId="9" hidden="1"/>
    <cellStyle name="Followed Hyperlink" xfId="198" builtinId="9" hidden="1"/>
    <cellStyle name="Followed Hyperlink" xfId="176" builtinId="9" hidden="1"/>
    <cellStyle name="Followed Hyperlink" xfId="35" builtinId="9" hidden="1"/>
    <cellStyle name="Followed Hyperlink" xfId="3" builtinId="9" hidden="1"/>
    <cellStyle name="Followed Hyperlink" xfId="17" builtinId="9" hidden="1"/>
    <cellStyle name="Followed Hyperlink" xfId="63" builtinId="9" hidden="1"/>
    <cellStyle name="Followed Hyperlink" xfId="65" builtinId="9" hidden="1"/>
    <cellStyle name="Followed Hyperlink" xfId="53" builtinId="9" hidden="1"/>
    <cellStyle name="Followed Hyperlink" xfId="43" builtinId="9" hidden="1"/>
    <cellStyle name="Followed Hyperlink" xfId="39" builtinId="9" hidden="1"/>
    <cellStyle name="Followed Hyperlink" xfId="15" builtinId="9" hidden="1"/>
    <cellStyle name="Followed Hyperlink" xfId="31" builtinId="9" hidden="1"/>
    <cellStyle name="Followed Hyperlink" xfId="7" builtinId="9" hidden="1"/>
    <cellStyle name="Followed Hyperlink" xfId="13" builtinId="9" hidden="1"/>
    <cellStyle name="Followed Hyperlink" xfId="111" builtinId="9" hidden="1"/>
    <cellStyle name="Followed Hyperlink" xfId="240" builtinId="9" hidden="1"/>
    <cellStyle name="Followed Hyperlink" xfId="138" builtinId="9" hidden="1"/>
    <cellStyle name="Followed Hyperlink" xfId="117" builtinId="9" hidden="1"/>
    <cellStyle name="Followed Hyperlink" xfId="230" builtinId="9" hidden="1"/>
    <cellStyle name="Followed Hyperlink" xfId="224" builtinId="9" hidden="1"/>
    <cellStyle name="Followed Hyperlink" xfId="192" builtinId="9" hidden="1"/>
    <cellStyle name="Followed Hyperlink" xfId="144" builtinId="9" hidden="1"/>
    <cellStyle name="Followed Hyperlink" xfId="95" builtinId="9" hidden="1"/>
    <cellStyle name="Followed Hyperlink" xfId="25" builtinId="9" hidden="1"/>
    <cellStyle name="Followed Hyperlink" xfId="57" builtinId="9" hidden="1"/>
    <cellStyle name="Followed Hyperlink" xfId="170" builtinId="9" hidden="1"/>
    <cellStyle name="Followed Hyperlink" xfId="142" builtinId="9" hidden="1"/>
    <cellStyle name="Followed Hyperlink" xfId="93" builtinId="9" hidden="1"/>
    <cellStyle name="Followed Hyperlink" xfId="77" builtinId="9" hidden="1"/>
    <cellStyle name="Followed Hyperlink" xfId="125" builtinId="9" hidden="1"/>
    <cellStyle name="Followed Hyperlink" xfId="178" builtinId="9" hidden="1"/>
    <cellStyle name="Followed Hyperlink" xfId="134" builtinId="9" hidden="1"/>
    <cellStyle name="Followed Hyperlink" xfId="222" builtinId="9" hidden="1"/>
    <cellStyle name="Followed Hyperlink" xfId="216" builtinId="9" hidden="1"/>
    <cellStyle name="Followed Hyperlink" xfId="152" builtinId="9" hidden="1"/>
    <cellStyle name="Followed Hyperlink" xfId="87" builtinId="9" hidden="1"/>
    <cellStyle name="Followed Hyperlink" xfId="51" builtinId="9" hidden="1"/>
    <cellStyle name="Followed Hyperlink" xfId="21" builtinId="9" hidden="1"/>
    <cellStyle name="Followed Hyperlink" xfId="23" builtinId="9" hidden="1"/>
    <cellStyle name="Followed Hyperlink" xfId="37" builtinId="9" hidden="1"/>
    <cellStyle name="Followed Hyperlink" xfId="180" builtinId="9" hidden="1"/>
    <cellStyle name="Followed Hyperlink" xfId="140" builtinId="9" hidden="1"/>
    <cellStyle name="Followed Hyperlink" xfId="99" builtinId="9" hidden="1"/>
    <cellStyle name="Followed Hyperlink" xfId="33" builtinId="9" hidden="1"/>
    <cellStyle name="Followed Hyperlink" xfId="156" builtinId="9" hidden="1"/>
    <cellStyle name="Followed Hyperlink" xfId="242" builtinId="9" hidden="1"/>
    <cellStyle name="Followed Hyperlink" xfId="250" builtinId="9" hidden="1"/>
    <cellStyle name="Followed Hyperlink" xfId="202" builtinId="9" hidden="1"/>
    <cellStyle name="Followed Hyperlink" xfId="259" builtinId="9" hidden="1"/>
    <cellStyle name="Followed Hyperlink" xfId="267" builtinId="9" hidden="1"/>
    <cellStyle name="Followed Hyperlink" xfId="269" builtinId="9" hidden="1"/>
    <cellStyle name="Followed Hyperlink" xfId="261" builtinId="9" hidden="1"/>
    <cellStyle name="Followed Hyperlink" xfId="252" builtinId="9" hidden="1"/>
    <cellStyle name="Followed Hyperlink" xfId="218" builtinId="9" hidden="1"/>
    <cellStyle name="Followed Hyperlink" xfId="244" builtinId="9" hidden="1"/>
    <cellStyle name="Followed Hyperlink" xfId="188" builtinId="9" hidden="1"/>
    <cellStyle name="Followed Hyperlink" xfId="27" builtinId="9" hidden="1"/>
    <cellStyle name="Followed Hyperlink" xfId="83" builtinId="9" hidden="1"/>
    <cellStyle name="Followed Hyperlink" xfId="132" builtinId="9" hidden="1"/>
    <cellStyle name="Followed Hyperlink" xfId="166" builtinId="9" hidden="1"/>
    <cellStyle name="Followed Hyperlink" xfId="146" builtinId="9" hidden="1"/>
    <cellStyle name="Followed Hyperlink" xfId="206" builtinId="9" hidden="1"/>
    <cellStyle name="Followed Hyperlink" xfId="238" builtinId="9" hidden="1"/>
    <cellStyle name="Followed Hyperlink" xfId="232" builtinId="9" hidden="1"/>
    <cellStyle name="Followed Hyperlink" xfId="168" builtinId="9" hidden="1"/>
    <cellStyle name="Followed Hyperlink" xfId="136" builtinId="9" hidden="1"/>
    <cellStyle name="Followed Hyperlink" xfId="103" builtinId="9" hidden="1"/>
    <cellStyle name="Followed Hyperlink" xfId="41" builtinId="9" hidden="1"/>
    <cellStyle name="Followed Hyperlink" xfId="61" builtinId="9" hidden="1"/>
    <cellStyle name="Followed Hyperlink" xfId="11" builtinId="9" hidden="1"/>
    <cellStyle name="Followed Hyperlink" xfId="19" builtinId="9" hidden="1"/>
    <cellStyle name="Followed Hyperlink" xfId="55" builtinId="9" hidden="1"/>
    <cellStyle name="Followed Hyperlink" xfId="49" builtinId="9" hidden="1"/>
    <cellStyle name="Followed Hyperlink" xfId="196" builtinId="9" hidden="1"/>
    <cellStyle name="Followed Hyperlink" xfId="172" builtinId="9" hidden="1"/>
    <cellStyle name="Followed Hyperlink" xfId="148" builtinId="9" hidden="1"/>
    <cellStyle name="Followed Hyperlink" xfId="212" builtinId="9" hidden="1"/>
    <cellStyle name="Followed Hyperlink" xfId="5" builtinId="9" hidden="1"/>
    <cellStyle name="Followed Hyperlink" xfId="71" builtinId="9" hidden="1"/>
    <cellStyle name="Followed Hyperlink" xfId="200" builtinId="9" hidden="1"/>
    <cellStyle name="Followed Hyperlink" xfId="121" builtinId="9" hidden="1"/>
    <cellStyle name="Followed Hyperlink" xfId="101" builtinId="9" hidden="1"/>
    <cellStyle name="Followed Hyperlink" xfId="73" builtinId="9" hidden="1"/>
    <cellStyle name="Followed Hyperlink" xfId="105" builtinId="9" hidden="1"/>
    <cellStyle name="Followed Hyperlink" xfId="85" builtinId="9" hidden="1"/>
    <cellStyle name="Followed Hyperlink" xfId="158" builtinId="9" hidden="1"/>
    <cellStyle name="Followed Hyperlink" xfId="186" builtinId="9" hidden="1"/>
    <cellStyle name="Followed Hyperlink" xfId="81" builtinId="9" hidden="1"/>
    <cellStyle name="Followed Hyperlink" xfId="174" builtinId="9" hidden="1"/>
    <cellStyle name="Followed Hyperlink" xfId="109" builtinId="9" hidden="1"/>
    <cellStyle name="Followed Hyperlink" xfId="182" builtinId="9" hidden="1"/>
    <cellStyle name="Followed Hyperlink" xfId="162" builtinId="9" hidden="1"/>
    <cellStyle name="Hyperlink" xfId="262" builtinId="8" hidden="1"/>
    <cellStyle name="Hyperlink" xfId="253" builtinId="8" hidden="1"/>
    <cellStyle name="Hyperlink" xfId="195" builtinId="8" hidden="1"/>
    <cellStyle name="Hyperlink" xfId="48" builtinId="8" hidden="1"/>
    <cellStyle name="Hyperlink" xfId="68" builtinId="8" hidden="1"/>
    <cellStyle name="Hyperlink" xfId="56" builtinId="8" hidden="1"/>
    <cellStyle name="Hyperlink" xfId="2" builtinId="8" hidden="1"/>
    <cellStyle name="Hyperlink" xfId="6" builtinId="8" hidden="1"/>
    <cellStyle name="Hyperlink" xfId="12" builtinId="8" hidden="1"/>
    <cellStyle name="Hyperlink" xfId="22" builtinId="8" hidden="1"/>
    <cellStyle name="Hyperlink" xfId="104" builtinId="8" hidden="1"/>
    <cellStyle name="Hyperlink" xfId="92" builtinId="8" hidden="1"/>
    <cellStyle name="Hyperlink" xfId="177" builtinId="8" hidden="1"/>
    <cellStyle name="Hyperlink" xfId="225" builtinId="8" hidden="1"/>
    <cellStyle name="Hyperlink" xfId="149" builtinId="8" hidden="1"/>
    <cellStyle name="Hyperlink" xfId="231" builtinId="8" hidden="1"/>
    <cellStyle name="Hyperlink" xfId="233" builtinId="8" hidden="1"/>
    <cellStyle name="Hyperlink" xfId="237" builtinId="8" hidden="1"/>
    <cellStyle name="Hyperlink" xfId="245" builtinId="8" hidden="1"/>
    <cellStyle name="Hyperlink" xfId="247" builtinId="8" hidden="1"/>
    <cellStyle name="Hyperlink" xfId="249" builtinId="8" hidden="1"/>
    <cellStyle name="Hyperlink" xfId="137" builtinId="8" hidden="1"/>
    <cellStyle name="Hyperlink" xfId="141" builtinId="8" hidden="1"/>
    <cellStyle name="Hyperlink" xfId="145" builtinId="8" hidden="1"/>
    <cellStyle name="Hyperlink" xfId="153" builtinId="8" hidden="1"/>
    <cellStyle name="Hyperlink" xfId="157" builtinId="8" hidden="1"/>
    <cellStyle name="Hyperlink" xfId="165" builtinId="8" hidden="1"/>
    <cellStyle name="Hyperlink" xfId="143" builtinId="8" hidden="1"/>
    <cellStyle name="Hyperlink" xfId="124" builtinId="8" hidden="1"/>
    <cellStyle name="Hyperlink" xfId="126" builtinId="8" hidden="1"/>
    <cellStyle name="Hyperlink" xfId="135" builtinId="8" hidden="1"/>
    <cellStyle name="Hyperlink" xfId="120" builtinId="8" hidden="1"/>
    <cellStyle name="Hyperlink" xfId="112" builtinId="8" hidden="1"/>
    <cellStyle name="Hyperlink" xfId="118" builtinId="8" hidden="1"/>
    <cellStyle name="Hyperlink" xfId="129" builtinId="8" hidden="1"/>
    <cellStyle name="Hyperlink" xfId="169" builtinId="8" hidden="1"/>
    <cellStyle name="Hyperlink" xfId="116" builtinId="8" hidden="1"/>
    <cellStyle name="Hyperlink" xfId="161" builtinId="8" hidden="1"/>
    <cellStyle name="Hyperlink" xfId="229" builtinId="8" hidden="1"/>
    <cellStyle name="Hyperlink" xfId="219" builtinId="8" hidden="1"/>
    <cellStyle name="Hyperlink" xfId="173" builtinId="8" hidden="1"/>
    <cellStyle name="Hyperlink" xfId="175" builtinId="8" hidden="1"/>
    <cellStyle name="Hyperlink" xfId="183" builtinId="8" hidden="1"/>
    <cellStyle name="Hyperlink" xfId="189" builtinId="8" hidden="1"/>
    <cellStyle name="Hyperlink" xfId="197" builtinId="8" hidden="1"/>
    <cellStyle name="Hyperlink" xfId="205" builtinId="8" hidden="1"/>
    <cellStyle name="Hyperlink" xfId="209" builtinId="8" hidden="1"/>
    <cellStyle name="Hyperlink" xfId="213" builtinId="8" hidden="1"/>
    <cellStyle name="Hyperlink" xfId="193" builtinId="8" hidden="1"/>
    <cellStyle name="Hyperlink" xfId="88" builtinId="8" hidden="1"/>
    <cellStyle name="Hyperlink" xfId="80" builtinId="8" hidden="1"/>
    <cellStyle name="Hyperlink" xfId="52" builtinId="8" hidden="1"/>
    <cellStyle name="Hyperlink" xfId="122" builtinId="8" hidden="1"/>
    <cellStyle name="Hyperlink" xfId="155" builtinId="8" hidden="1"/>
    <cellStyle name="Hyperlink" xfId="58" builtinId="8" hidden="1"/>
    <cellStyle name="Hyperlink" xfId="108" builtinId="8" hidden="1"/>
    <cellStyle name="Hyperlink" xfId="46" builtinId="8" hidden="1"/>
    <cellStyle name="Hyperlink" xfId="16" builtinId="8" hidden="1"/>
    <cellStyle name="Hyperlink" xfId="30" builtinId="8" hidden="1"/>
    <cellStyle name="Hyperlink" xfId="70" builtinId="8" hidden="1"/>
    <cellStyle name="Hyperlink" xfId="217" builtinId="8" hidden="1"/>
    <cellStyle name="Hyperlink" xfId="199" builtinId="8" hidden="1"/>
    <cellStyle name="Hyperlink" xfId="181" builtinId="8" hidden="1"/>
    <cellStyle name="Hyperlink" xfId="223" builtinId="8" hidden="1"/>
    <cellStyle name="Hyperlink" xfId="159" builtinId="8" hidden="1"/>
    <cellStyle name="Hyperlink" xfId="110" builtinId="8" hidden="1"/>
    <cellStyle name="Hyperlink" xfId="133" builtinId="8" hidden="1"/>
    <cellStyle name="Hyperlink" xfId="167" builtinId="8" hidden="1"/>
    <cellStyle name="Hyperlink" xfId="151" builtinId="8" hidden="1"/>
    <cellStyle name="Hyperlink" xfId="207" builtinId="8" hidden="1"/>
    <cellStyle name="Hyperlink" xfId="241" builtinId="8" hidden="1"/>
    <cellStyle name="Hyperlink" xfId="221" builtinId="8" hidden="1"/>
    <cellStyle name="Hyperlink" xfId="38" builtinId="8" hidden="1"/>
    <cellStyle name="Hyperlink" xfId="36" builtinId="8" hidden="1"/>
    <cellStyle name="Hyperlink" xfId="131" builtinId="8" hidden="1"/>
    <cellStyle name="Hyperlink" xfId="147" builtinId="8" hidden="1"/>
    <cellStyle name="Hyperlink" xfId="270" builtinId="8" hidden="1"/>
    <cellStyle name="Hyperlink" xfId="14" builtinId="8" hidden="1"/>
    <cellStyle name="Hyperlink" xfId="20" builtinId="8" hidden="1"/>
    <cellStyle name="Hyperlink" xfId="10" builtinId="8" hidden="1"/>
    <cellStyle name="Hyperlink" xfId="4" builtinId="8" hidden="1"/>
    <cellStyle name="Hyperlink" xfId="8" builtinId="8" hidden="1"/>
    <cellStyle name="Hyperlink" xfId="26" builtinId="8" hidden="1"/>
    <cellStyle name="Hyperlink" xfId="24" builtinId="8" hidden="1"/>
    <cellStyle name="Hyperlink" xfId="96" builtinId="8" hidden="1"/>
    <cellStyle name="Hyperlink" xfId="50" builtinId="8" hidden="1"/>
    <cellStyle name="Hyperlink" xfId="54" builtinId="8" hidden="1"/>
    <cellStyle name="Hyperlink" xfId="60" builtinId="8" hidden="1"/>
    <cellStyle name="Hyperlink" xfId="64" builtinId="8" hidden="1"/>
    <cellStyle name="Hyperlink" xfId="66" builtinId="8" hidden="1"/>
    <cellStyle name="Hyperlink" xfId="72" builtinId="8" hidden="1"/>
    <cellStyle name="Hyperlink" xfId="76" builtinId="8" hidden="1"/>
    <cellStyle name="Hyperlink" xfId="179" builtinId="8" hidden="1"/>
    <cellStyle name="Hyperlink" xfId="171" builtinId="8" hidden="1"/>
    <cellStyle name="Hyperlink" xfId="163" builtinId="8" hidden="1"/>
    <cellStyle name="Hyperlink" xfId="139" builtinId="8" hidden="1"/>
    <cellStyle name="Hyperlink" xfId="211" builtinId="8" hidden="1"/>
    <cellStyle name="Hyperlink" xfId="203" builtinId="8" hidden="1"/>
    <cellStyle name="Hyperlink" xfId="227" builtinId="8" hidden="1"/>
    <cellStyle name="Hyperlink" xfId="251" builtinId="8" hidden="1"/>
    <cellStyle name="Hyperlink" xfId="256" builtinId="8" hidden="1"/>
    <cellStyle name="Hyperlink" xfId="258" builtinId="8" hidden="1"/>
    <cellStyle name="Hyperlink" xfId="260" builtinId="8" hidden="1"/>
    <cellStyle name="Hyperlink" xfId="264" builtinId="8" hidden="1"/>
    <cellStyle name="Hyperlink" xfId="266" builtinId="8" hidden="1"/>
    <cellStyle name="Hyperlink" xfId="268" builtinId="8" hidden="1"/>
    <cellStyle name="Hyperlink" xfId="235" builtinId="8" hidden="1"/>
    <cellStyle name="Hyperlink" xfId="78" builtinId="8" hidden="1"/>
    <cellStyle name="Hyperlink" xfId="114" builtinId="8" hidden="1"/>
    <cellStyle name="Hyperlink" xfId="18" builtinId="8" hidden="1"/>
    <cellStyle name="Hyperlink" xfId="86" builtinId="8" hidden="1"/>
    <cellStyle name="Hyperlink" xfId="94" builtinId="8" hidden="1"/>
    <cellStyle name="Hyperlink" xfId="100" builtinId="8" hidden="1"/>
    <cellStyle name="Hyperlink" xfId="102" builtinId="8" hidden="1"/>
    <cellStyle name="Hyperlink" xfId="106" builtinId="8" hidden="1"/>
    <cellStyle name="Hyperlink" xfId="90" builtinId="8" hidden="1"/>
    <cellStyle name="Hyperlink" xfId="28" builtinId="8" hidden="1"/>
    <cellStyle name="Hyperlink" xfId="32" builtinId="8" hidden="1"/>
    <cellStyle name="Hyperlink" xfId="34" builtinId="8" hidden="1"/>
    <cellStyle name="Hyperlink" xfId="40" builtinId="8" hidden="1"/>
    <cellStyle name="Hyperlink" xfId="42" builtinId="8" hidden="1"/>
    <cellStyle name="Hyperlink" xfId="44" builtinId="8" hidden="1"/>
    <cellStyle name="Hyperlink" xfId="74" builtinId="8" hidden="1"/>
    <cellStyle name="Hyperlink" xfId="191" builtinId="8" hidden="1"/>
    <cellStyle name="Hyperlink" xfId="187" builtinId="8" hidden="1"/>
    <cellStyle name="Hyperlink" xfId="62" builtinId="8" hidden="1"/>
    <cellStyle name="Hyperlink" xfId="98" builtinId="8" hidden="1"/>
    <cellStyle name="Hyperlink" xfId="82" builtinId="8" hidden="1"/>
    <cellStyle name="Hyperlink" xfId="84" builtinId="8" hidden="1"/>
    <cellStyle name="Hyperlink" xfId="239" builtinId="8" hidden="1"/>
    <cellStyle name="Hyperlink" xfId="215" builtinId="8" hidden="1"/>
    <cellStyle name="Hyperlink" xfId="201" builtinId="8" hidden="1"/>
    <cellStyle name="Hyperlink" xfId="243" builtinId="8" hidden="1"/>
    <cellStyle name="Hyperlink" xfId="185" builtinId="8" hidden="1"/>
    <cellStyle name="Hyperlink" xfId="272" builtinId="8"/>
    <cellStyle name="Normal" xfId="0" builtinId="0"/>
    <cellStyle name="Per cent" xfId="128" builtinId="5"/>
  </cellStyles>
  <dxfs count="0"/>
  <tableStyles count="0" defaultTableStyle="TableStyleMedium9" defaultPivotStyle="PivotStyleMedium4"/>
  <colors>
    <mruColors>
      <color rgb="FF03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4.tiff"/><Relationship Id="rId1" Type="http://schemas.openxmlformats.org/officeDocument/2006/relationships/image" Target="../media/image13.tiff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7.tiff"/><Relationship Id="rId1" Type="http://schemas.openxmlformats.org/officeDocument/2006/relationships/image" Target="../media/image26.png"/><Relationship Id="rId4" Type="http://schemas.openxmlformats.org/officeDocument/2006/relationships/image" Target="../media/image28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7.tiff"/><Relationship Id="rId1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7.tiff"/><Relationship Id="rId1" Type="http://schemas.openxmlformats.org/officeDocument/2006/relationships/image" Target="../media/image2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0.emf"/><Relationship Id="rId2" Type="http://schemas.openxmlformats.org/officeDocument/2006/relationships/hyperlink" Target="http://commons.wikimedia.org/wiki/File:New_Jersey_Sunset.jpg" TargetMode="External"/><Relationship Id="rId1" Type="http://schemas.openxmlformats.org/officeDocument/2006/relationships/image" Target="../media/image29.jpg"/><Relationship Id="rId6" Type="http://schemas.openxmlformats.org/officeDocument/2006/relationships/hyperlink" Target="http://commons.wikimedia.org/wiki/File:Coco_Loco_Beach_Pano.jpg" TargetMode="External"/><Relationship Id="rId5" Type="http://schemas.openxmlformats.org/officeDocument/2006/relationships/hyperlink" Target="https://creativecommons.org/licenses/by-sa/3.0/" TargetMode="External"/><Relationship Id="rId4" Type="http://schemas.openxmlformats.org/officeDocument/2006/relationships/hyperlink" Target="http://en.wikipedia.org/wiki/File:Lalomanu_Beach_-_Samoa.jpg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5318051</xdr:colOff>
      <xdr:row>1</xdr:row>
      <xdr:rowOff>188380</xdr:rowOff>
    </xdr:from>
    <xdr:to>
      <xdr:col>2</xdr:col>
      <xdr:colOff>404508</xdr:colOff>
      <xdr:row>8</xdr:row>
      <xdr:rowOff>165096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251" y="391580"/>
          <a:ext cx="2046057" cy="13991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270935</xdr:colOff>
      <xdr:row>71</xdr:row>
      <xdr:rowOff>101599</xdr:rowOff>
    </xdr:from>
    <xdr:to>
      <xdr:col>3</xdr:col>
      <xdr:colOff>231164</xdr:colOff>
      <xdr:row>87</xdr:row>
      <xdr:rowOff>63500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435" y="15735299"/>
          <a:ext cx="2017629" cy="3251201"/>
        </a:xfrm>
        <a:prstGeom prst="rect">
          <a:avLst/>
        </a:prstGeom>
      </xdr:spPr>
    </xdr:pic>
    <xdr:clientData/>
  </xdr:twoCellAnchor>
  <xdr:twoCellAnchor>
    <xdr:from>
      <xdr:col>11</xdr:col>
      <xdr:colOff>101600</xdr:colOff>
      <xdr:row>6</xdr:row>
      <xdr:rowOff>135466</xdr:rowOff>
    </xdr:from>
    <xdr:to>
      <xdr:col>11</xdr:col>
      <xdr:colOff>575733</xdr:colOff>
      <xdr:row>8</xdr:row>
      <xdr:rowOff>50799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A1DDAC76-0161-E448-8D6E-73CAEDB94857}"/>
            </a:ext>
          </a:extLst>
        </xdr:cNvPr>
        <xdr:cNvSpPr/>
      </xdr:nvSpPr>
      <xdr:spPr>
        <a:xfrm>
          <a:off x="8619067" y="1642533"/>
          <a:ext cx="474133" cy="372533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469900</xdr:colOff>
      <xdr:row>8</xdr:row>
      <xdr:rowOff>110067</xdr:rowOff>
    </xdr:from>
    <xdr:to>
      <xdr:col>11</xdr:col>
      <xdr:colOff>515619</xdr:colOff>
      <xdr:row>27</xdr:row>
      <xdr:rowOff>152400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8953500" y="2065867"/>
          <a:ext cx="45719" cy="3877733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69850</xdr:colOff>
      <xdr:row>8</xdr:row>
      <xdr:rowOff>127000</xdr:rowOff>
    </xdr:from>
    <xdr:to>
      <xdr:col>11</xdr:col>
      <xdr:colOff>76200</xdr:colOff>
      <xdr:row>28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 flipH="1">
          <a:off x="8553450" y="2082800"/>
          <a:ext cx="6350" cy="4025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12</xdr:row>
      <xdr:rowOff>100263</xdr:rowOff>
    </xdr:from>
    <xdr:to>
      <xdr:col>1</xdr:col>
      <xdr:colOff>651710</xdr:colOff>
      <xdr:row>27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flipH="1">
          <a:off x="1472086" y="2807368"/>
          <a:ext cx="4010" cy="295776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547914</xdr:colOff>
      <xdr:row>6</xdr:row>
      <xdr:rowOff>12700</xdr:rowOff>
    </xdr:from>
    <xdr:to>
      <xdr:col>10</xdr:col>
      <xdr:colOff>284843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1373414" y="1511300"/>
          <a:ext cx="7864929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170180</xdr:rowOff>
    </xdr:from>
    <xdr:to>
      <xdr:col>11</xdr:col>
      <xdr:colOff>692150</xdr:colOff>
      <xdr:row>28</xdr:row>
      <xdr:rowOff>107950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9169400" y="2316480"/>
          <a:ext cx="6350" cy="377317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21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4528820" y="3863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11</xdr:col>
      <xdr:colOff>220133</xdr:colOff>
      <xdr:row>5</xdr:row>
      <xdr:rowOff>97367</xdr:rowOff>
    </xdr:from>
    <xdr:to>
      <xdr:col>11</xdr:col>
      <xdr:colOff>224366</xdr:colOff>
      <xdr:row>8</xdr:row>
      <xdr:rowOff>101600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 flipV="1">
          <a:off x="8737600" y="1401234"/>
          <a:ext cx="4233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478366</xdr:colOff>
      <xdr:row>5</xdr:row>
      <xdr:rowOff>97367</xdr:rowOff>
    </xdr:from>
    <xdr:to>
      <xdr:col>11</xdr:col>
      <xdr:colOff>482600</xdr:colOff>
      <xdr:row>8</xdr:row>
      <xdr:rowOff>101600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 flipH="1" flipV="1">
          <a:off x="8995833" y="1401234"/>
          <a:ext cx="4234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59266</xdr:colOff>
      <xdr:row>5</xdr:row>
      <xdr:rowOff>71967</xdr:rowOff>
    </xdr:from>
    <xdr:to>
      <xdr:col>11</xdr:col>
      <xdr:colOff>656166</xdr:colOff>
      <xdr:row>5</xdr:row>
      <xdr:rowOff>71967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8576733" y="1375834"/>
          <a:ext cx="59690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586015</xdr:colOff>
      <xdr:row>75</xdr:row>
      <xdr:rowOff>143933</xdr:rowOff>
    </xdr:from>
    <xdr:to>
      <xdr:col>3</xdr:col>
      <xdr:colOff>317500</xdr:colOff>
      <xdr:row>75</xdr:row>
      <xdr:rowOff>143933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1415748" y="16780933"/>
          <a:ext cx="14671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69</xdr:row>
      <xdr:rowOff>169334</xdr:rowOff>
    </xdr:from>
    <xdr:to>
      <xdr:col>9</xdr:col>
      <xdr:colOff>791632</xdr:colOff>
      <xdr:row>89</xdr:row>
      <xdr:rowOff>97367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2733" y="15604067"/>
          <a:ext cx="4110566" cy="4051300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76</xdr:row>
      <xdr:rowOff>97367</xdr:rowOff>
    </xdr:from>
    <xdr:to>
      <xdr:col>1</xdr:col>
      <xdr:colOff>355600</xdr:colOff>
      <xdr:row>80</xdr:row>
      <xdr:rowOff>135467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flipV="1">
          <a:off x="1181100" y="16721667"/>
          <a:ext cx="0" cy="1003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304801</xdr:colOff>
      <xdr:row>82</xdr:row>
      <xdr:rowOff>59266</xdr:rowOff>
    </xdr:from>
    <xdr:to>
      <xdr:col>3</xdr:col>
      <xdr:colOff>571500</xdr:colOff>
      <xdr:row>82</xdr:row>
      <xdr:rowOff>71966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>
          <a:off x="1134534" y="18262599"/>
          <a:ext cx="2002366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313268</xdr:colOff>
      <xdr:row>80</xdr:row>
      <xdr:rowOff>165099</xdr:rowOff>
    </xdr:from>
    <xdr:to>
      <xdr:col>3</xdr:col>
      <xdr:colOff>491067</xdr:colOff>
      <xdr:row>80</xdr:row>
      <xdr:rowOff>177799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>
          <a:off x="1143001" y="17978966"/>
          <a:ext cx="1913466" cy="1270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622300</xdr:colOff>
      <xdr:row>0</xdr:row>
      <xdr:rowOff>101600</xdr:rowOff>
    </xdr:from>
    <xdr:to>
      <xdr:col>2</xdr:col>
      <xdr:colOff>1122054</xdr:colOff>
      <xdr:row>3</xdr:row>
      <xdr:rowOff>165100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1016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567266</xdr:colOff>
      <xdr:row>89</xdr:row>
      <xdr:rowOff>110066</xdr:rowOff>
    </xdr:from>
    <xdr:to>
      <xdr:col>11</xdr:col>
      <xdr:colOff>313488</xdr:colOff>
      <xdr:row>94</xdr:row>
      <xdr:rowOff>55032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8933" y="19676533"/>
          <a:ext cx="1405688" cy="910166"/>
        </a:xfrm>
        <a:prstGeom prst="rect">
          <a:avLst/>
        </a:prstGeom>
      </xdr:spPr>
    </xdr:pic>
    <xdr:clientData/>
  </xdr:twoCellAnchor>
  <xdr:oneCellAnchor>
    <xdr:from>
      <xdr:col>4</xdr:col>
      <xdr:colOff>965200</xdr:colOff>
      <xdr:row>11</xdr:row>
      <xdr:rowOff>25400</xdr:rowOff>
    </xdr:from>
    <xdr:ext cx="1334724" cy="405432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3378200" y="21844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2</xdr:col>
      <xdr:colOff>139700</xdr:colOff>
      <xdr:row>7</xdr:row>
      <xdr:rowOff>12700</xdr:rowOff>
    </xdr:from>
    <xdr:to>
      <xdr:col>9</xdr:col>
      <xdr:colOff>800100</xdr:colOff>
      <xdr:row>28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F3137-2A67-A249-BF88-1E206437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6900" y="1765300"/>
          <a:ext cx="7061200" cy="4279900"/>
        </a:xfrm>
        <a:prstGeom prst="rect">
          <a:avLst/>
        </a:prstGeom>
      </xdr:spPr>
    </xdr:pic>
    <xdr:clientData/>
  </xdr:twoCellAnchor>
  <xdr:twoCellAnchor>
    <xdr:from>
      <xdr:col>11</xdr:col>
      <xdr:colOff>135466</xdr:colOff>
      <xdr:row>6</xdr:row>
      <xdr:rowOff>237066</xdr:rowOff>
    </xdr:from>
    <xdr:to>
      <xdr:col>11</xdr:col>
      <xdr:colOff>567266</xdr:colOff>
      <xdr:row>8</xdr:row>
      <xdr:rowOff>93133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76AACD82-0996-17F3-F42B-5B0D872AB933}"/>
            </a:ext>
          </a:extLst>
        </xdr:cNvPr>
        <xdr:cNvSpPr/>
      </xdr:nvSpPr>
      <xdr:spPr>
        <a:xfrm>
          <a:off x="8652933" y="1744133"/>
          <a:ext cx="431800" cy="313267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651933</xdr:colOff>
      <xdr:row>7</xdr:row>
      <xdr:rowOff>12701</xdr:rowOff>
    </xdr:from>
    <xdr:to>
      <xdr:col>9</xdr:col>
      <xdr:colOff>812800</xdr:colOff>
      <xdr:row>8</xdr:row>
      <xdr:rowOff>158751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0AE4FBC-A721-EE78-AADE-775A7E0FC9E5}"/>
            </a:ext>
          </a:extLst>
        </xdr:cNvPr>
        <xdr:cNvSpPr/>
      </xdr:nvSpPr>
      <xdr:spPr>
        <a:xfrm>
          <a:off x="7484533" y="1765301"/>
          <a:ext cx="160867" cy="3492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660400</xdr:colOff>
      <xdr:row>8</xdr:row>
      <xdr:rowOff>124883</xdr:rowOff>
    </xdr:from>
    <xdr:to>
      <xdr:col>10</xdr:col>
      <xdr:colOff>287867</xdr:colOff>
      <xdr:row>8</xdr:row>
      <xdr:rowOff>175683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E228CBC-7F47-1322-62B3-68C0F232940E}"/>
            </a:ext>
          </a:extLst>
        </xdr:cNvPr>
        <xdr:cNvSpPr/>
      </xdr:nvSpPr>
      <xdr:spPr>
        <a:xfrm>
          <a:off x="7518400" y="2089150"/>
          <a:ext cx="457200" cy="5080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33866</xdr:colOff>
      <xdr:row>8</xdr:row>
      <xdr:rowOff>67733</xdr:rowOff>
    </xdr:from>
    <xdr:to>
      <xdr:col>11</xdr:col>
      <xdr:colOff>643465</xdr:colOff>
      <xdr:row>8</xdr:row>
      <xdr:rowOff>113452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5A17895-6DDB-EE4C-AFCA-9ADA75005698}"/>
            </a:ext>
          </a:extLst>
        </xdr:cNvPr>
        <xdr:cNvSpPr/>
      </xdr:nvSpPr>
      <xdr:spPr>
        <a:xfrm>
          <a:off x="8551333" y="2032000"/>
          <a:ext cx="609599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431800</xdr:colOff>
      <xdr:row>27</xdr:row>
      <xdr:rowOff>114300</xdr:rowOff>
    </xdr:from>
    <xdr:to>
      <xdr:col>11</xdr:col>
      <xdr:colOff>552450</xdr:colOff>
      <xdr:row>28</xdr:row>
      <xdr:rowOff>107950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FE1704-5399-7B45-408F-C8180F8FC26B}"/>
            </a:ext>
          </a:extLst>
        </xdr:cNvPr>
        <xdr:cNvSpPr/>
      </xdr:nvSpPr>
      <xdr:spPr>
        <a:xfrm>
          <a:off x="8915400" y="5905500"/>
          <a:ext cx="120650" cy="184150"/>
        </a:xfrm>
        <a:prstGeom prst="ellipse">
          <a:avLst/>
        </a:prstGeom>
        <a:solidFill>
          <a:schemeClr val="tx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527049</xdr:colOff>
      <xdr:row>8</xdr:row>
      <xdr:rowOff>147413</xdr:rowOff>
    </xdr:from>
    <xdr:to>
      <xdr:col>2</xdr:col>
      <xdr:colOff>222395</xdr:colOff>
      <xdr:row>8</xdr:row>
      <xdr:rowOff>193132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F009C2E9-3AB0-2145-9A2F-5251EADC46FE}"/>
            </a:ext>
          </a:extLst>
        </xdr:cNvPr>
        <xdr:cNvSpPr/>
      </xdr:nvSpPr>
      <xdr:spPr>
        <a:xfrm>
          <a:off x="1352256" y="2113865"/>
          <a:ext cx="596637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</xdr:colOff>
      <xdr:row>7</xdr:row>
      <xdr:rowOff>12701</xdr:rowOff>
    </xdr:from>
    <xdr:to>
      <xdr:col>2</xdr:col>
      <xdr:colOff>211667</xdr:colOff>
      <xdr:row>8</xdr:row>
      <xdr:rowOff>146051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E9EA606E-3060-1847-9500-F29F3F9D8C7F}"/>
            </a:ext>
          </a:extLst>
        </xdr:cNvPr>
        <xdr:cNvSpPr/>
      </xdr:nvSpPr>
      <xdr:spPr>
        <a:xfrm>
          <a:off x="812800" y="1765301"/>
          <a:ext cx="160867" cy="3365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565150</xdr:colOff>
      <xdr:row>6</xdr:row>
      <xdr:rowOff>152400</xdr:rowOff>
    </xdr:from>
    <xdr:to>
      <xdr:col>1</xdr:col>
      <xdr:colOff>565150</xdr:colOff>
      <xdr:row>8</xdr:row>
      <xdr:rowOff>82550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5C50EBF5-7B09-BC46-98DC-F9598BD64E80}"/>
            </a:ext>
          </a:extLst>
        </xdr:cNvPr>
        <xdr:cNvCxnSpPr/>
      </xdr:nvCxnSpPr>
      <xdr:spPr>
        <a:xfrm flipV="1">
          <a:off x="565150" y="1651000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10</xdr:row>
      <xdr:rowOff>38100</xdr:rowOff>
    </xdr:from>
    <xdr:to>
      <xdr:col>9</xdr:col>
      <xdr:colOff>342900</xdr:colOff>
      <xdr:row>12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231C1408-0505-A57F-AD9B-176F70FC8FC3}"/>
            </a:ext>
          </a:extLst>
        </xdr:cNvPr>
        <xdr:cNvSpPr/>
      </xdr:nvSpPr>
      <xdr:spPr>
        <a:xfrm>
          <a:off x="1371600" y="2374900"/>
          <a:ext cx="5803900" cy="444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800"/>
            <a:t>BLACK DROP</a:t>
          </a:r>
        </a:p>
      </xdr:txBody>
    </xdr:sp>
    <xdr:clientData/>
  </xdr:twoCellAnchor>
  <xdr:twoCellAnchor>
    <xdr:from>
      <xdr:col>1</xdr:col>
      <xdr:colOff>660400</xdr:colOff>
      <xdr:row>8</xdr:row>
      <xdr:rowOff>177800</xdr:rowOff>
    </xdr:from>
    <xdr:to>
      <xdr:col>1</xdr:col>
      <xdr:colOff>660400</xdr:colOff>
      <xdr:row>12</xdr:row>
      <xdr:rowOff>76200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77D87904-AD10-CE9B-E460-7765EF6B4BD0}"/>
            </a:ext>
          </a:extLst>
        </xdr:cNvPr>
        <xdr:cNvCxnSpPr/>
      </xdr:nvCxnSpPr>
      <xdr:spPr>
        <a:xfrm flipV="1">
          <a:off x="1485900" y="2133600"/>
          <a:ext cx="0" cy="660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27</xdr:row>
      <xdr:rowOff>12700</xdr:rowOff>
    </xdr:from>
    <xdr:to>
      <xdr:col>1</xdr:col>
      <xdr:colOff>647700</xdr:colOff>
      <xdr:row>28</xdr:row>
      <xdr:rowOff>50800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34006279-CFB9-626D-B529-8D01EAE9D096}"/>
            </a:ext>
          </a:extLst>
        </xdr:cNvPr>
        <xdr:cNvCxnSpPr/>
      </xdr:nvCxnSpPr>
      <xdr:spPr>
        <a:xfrm>
          <a:off x="647700" y="5803900"/>
          <a:ext cx="0" cy="228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14</xdr:row>
      <xdr:rowOff>6350</xdr:rowOff>
    </xdr:from>
    <xdr:to>
      <xdr:col>9</xdr:col>
      <xdr:colOff>215900</xdr:colOff>
      <xdr:row>14</xdr:row>
      <xdr:rowOff>6350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4713792C-BFF4-21C3-7E56-0407FF2E528C}"/>
            </a:ext>
          </a:extLst>
        </xdr:cNvPr>
        <xdr:cNvCxnSpPr/>
      </xdr:nvCxnSpPr>
      <xdr:spPr>
        <a:xfrm>
          <a:off x="1466850" y="3105150"/>
          <a:ext cx="5581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158750</xdr:rowOff>
    </xdr:from>
    <xdr:to>
      <xdr:col>9</xdr:col>
      <xdr:colOff>209550</xdr:colOff>
      <xdr:row>26</xdr:row>
      <xdr:rowOff>139700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4825B872-2C03-0919-47E6-C03FE9EDC370}"/>
            </a:ext>
          </a:extLst>
        </xdr:cNvPr>
        <xdr:cNvCxnSpPr/>
      </xdr:nvCxnSpPr>
      <xdr:spPr>
        <a:xfrm flipV="1">
          <a:off x="1473200" y="2876550"/>
          <a:ext cx="5568950" cy="28638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143934</xdr:colOff>
      <xdr:row>6</xdr:row>
      <xdr:rowOff>169333</xdr:rowOff>
    </xdr:from>
    <xdr:to>
      <xdr:col>10</xdr:col>
      <xdr:colOff>143934</xdr:colOff>
      <xdr:row>6</xdr:row>
      <xdr:rowOff>169333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4EF78CB2-E1AA-BB75-B104-25550306872D}"/>
            </a:ext>
          </a:extLst>
        </xdr:cNvPr>
        <xdr:cNvCxnSpPr/>
      </xdr:nvCxnSpPr>
      <xdr:spPr>
        <a:xfrm>
          <a:off x="7831667" y="16764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270933</xdr:colOff>
      <xdr:row>6</xdr:row>
      <xdr:rowOff>126999</xdr:rowOff>
    </xdr:from>
    <xdr:to>
      <xdr:col>10</xdr:col>
      <xdr:colOff>270933</xdr:colOff>
      <xdr:row>8</xdr:row>
      <xdr:rowOff>57149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B10719F5-7086-F040-B50F-8E43BDA26F9D}"/>
            </a:ext>
          </a:extLst>
        </xdr:cNvPr>
        <xdr:cNvCxnSpPr/>
      </xdr:nvCxnSpPr>
      <xdr:spPr>
        <a:xfrm flipV="1">
          <a:off x="9224433" y="1625599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40966</xdr:colOff>
      <xdr:row>7</xdr:row>
      <xdr:rowOff>11705</xdr:rowOff>
    </xdr:from>
    <xdr:to>
      <xdr:col>9</xdr:col>
      <xdr:colOff>813501</xdr:colOff>
      <xdr:row>8</xdr:row>
      <xdr:rowOff>181428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780567-AAA8-856D-DE58-249C4D554304}"/>
            </a:ext>
          </a:extLst>
        </xdr:cNvPr>
        <xdr:cNvSpPr/>
      </xdr:nvSpPr>
      <xdr:spPr>
        <a:xfrm>
          <a:off x="1767464" y="1773318"/>
          <a:ext cx="6841613" cy="37456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254000</xdr:colOff>
      <xdr:row>6</xdr:row>
      <xdr:rowOff>12700</xdr:rowOff>
    </xdr:from>
    <xdr:to>
      <xdr:col>11</xdr:col>
      <xdr:colOff>299719</xdr:colOff>
      <xdr:row>26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8737600" y="1244600"/>
          <a:ext cx="45719" cy="4076701"/>
        </a:xfrm>
        <a:prstGeom prst="rect">
          <a:avLst/>
        </a:prstGeom>
        <a:noFill/>
        <a:ln w="12700" cmpd="sng">
          <a:solidFill>
            <a:schemeClr val="tx1"/>
          </a:solidFill>
          <a:miter lim="800000"/>
          <a:headEnd/>
          <a:tailEnd/>
        </a:ln>
        <a:effectLst>
          <a:outerShdw blurRad="25400" dist="127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11</xdr:col>
      <xdr:colOff>152400</xdr:colOff>
      <xdr:row>5</xdr:row>
      <xdr:rowOff>101601</xdr:rowOff>
    </xdr:from>
    <xdr:to>
      <xdr:col>11</xdr:col>
      <xdr:colOff>734513</xdr:colOff>
      <xdr:row>8</xdr:row>
      <xdr:rowOff>152401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60E998-0A1D-1F5D-B575-62912507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2700" y="1130301"/>
          <a:ext cx="582113" cy="6223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135467</xdr:rowOff>
    </xdr:from>
    <xdr:to>
      <xdr:col>9</xdr:col>
      <xdr:colOff>821267</xdr:colOff>
      <xdr:row>11</xdr:row>
      <xdr:rowOff>84667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A9AB08CF-5246-F445-B776-675D17C87C49}"/>
            </a:ext>
          </a:extLst>
        </xdr:cNvPr>
        <xdr:cNvSpPr/>
      </xdr:nvSpPr>
      <xdr:spPr>
        <a:xfrm>
          <a:off x="1058333" y="1752600"/>
          <a:ext cx="6891867" cy="5334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251023</xdr:colOff>
      <xdr:row>27</xdr:row>
      <xdr:rowOff>151375</xdr:rowOff>
    </xdr:from>
    <xdr:to>
      <xdr:col>9</xdr:col>
      <xdr:colOff>606623</xdr:colOff>
      <xdr:row>27</xdr:row>
      <xdr:rowOff>153516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1276792" y="5524452"/>
          <a:ext cx="6412523" cy="21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12701</xdr:colOff>
      <xdr:row>7</xdr:row>
      <xdr:rowOff>63500</xdr:rowOff>
    </xdr:from>
    <xdr:to>
      <xdr:col>10</xdr:col>
      <xdr:colOff>0</xdr:colOff>
      <xdr:row>26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774701" y="1498600"/>
          <a:ext cx="6883399" cy="3810000"/>
        </a:xfrm>
        <a:prstGeom prst="rect">
          <a:avLst/>
        </a:prstGeom>
        <a:noFill/>
        <a:ln w="127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231661</xdr:colOff>
      <xdr:row>11</xdr:row>
      <xdr:rowOff>118534</xdr:rowOff>
    </xdr:from>
    <xdr:to>
      <xdr:col>9</xdr:col>
      <xdr:colOff>584200</xdr:colOff>
      <xdr:row>25</xdr:row>
      <xdr:rowOff>107557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1720912" y="2476514"/>
          <a:ext cx="6433646" cy="285583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91440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8569960" y="11836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771965</xdr:colOff>
      <xdr:row>29</xdr:row>
      <xdr:rowOff>107935</xdr:rowOff>
    </xdr:from>
    <xdr:to>
      <xdr:col>10</xdr:col>
      <xdr:colOff>337625</xdr:colOff>
      <xdr:row>29</xdr:row>
      <xdr:rowOff>107935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 flipV="1">
          <a:off x="771965" y="5857825"/>
          <a:ext cx="747175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686283</xdr:colOff>
      <xdr:row>11</xdr:row>
      <xdr:rowOff>78600</xdr:rowOff>
    </xdr:from>
    <xdr:to>
      <xdr:col>1</xdr:col>
      <xdr:colOff>690847</xdr:colOff>
      <xdr:row>25</xdr:row>
      <xdr:rowOff>100442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 flipH="1">
          <a:off x="1145469" y="2436580"/>
          <a:ext cx="4564" cy="2888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770468</xdr:colOff>
      <xdr:row>26</xdr:row>
      <xdr:rowOff>63500</xdr:rowOff>
    </xdr:from>
    <xdr:to>
      <xdr:col>10</xdr:col>
      <xdr:colOff>338668</xdr:colOff>
      <xdr:row>26</xdr:row>
      <xdr:rowOff>63500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70468" y="5092700"/>
          <a:ext cx="7493000" cy="0"/>
        </a:xfrm>
        <a:prstGeom prst="line">
          <a:avLst/>
        </a:prstGeom>
        <a:ln w="13335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474506</xdr:colOff>
      <xdr:row>5</xdr:row>
      <xdr:rowOff>20934</xdr:rowOff>
    </xdr:from>
    <xdr:to>
      <xdr:col>10</xdr:col>
      <xdr:colOff>381000</xdr:colOff>
      <xdr:row>5</xdr:row>
      <xdr:rowOff>21493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935055" y="1235110"/>
          <a:ext cx="7812593" cy="55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</xdr:colOff>
      <xdr:row>10</xdr:row>
      <xdr:rowOff>3598</xdr:rowOff>
    </xdr:from>
    <xdr:to>
      <xdr:col>2</xdr:col>
      <xdr:colOff>197875</xdr:colOff>
      <xdr:row>25</xdr:row>
      <xdr:rowOff>186902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1032550" y="1985949"/>
          <a:ext cx="194277" cy="3043503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619986</xdr:colOff>
      <xdr:row>9</xdr:row>
      <xdr:rowOff>186902</xdr:rowOff>
    </xdr:from>
    <xdr:to>
      <xdr:col>9</xdr:col>
      <xdr:colOff>823881</xdr:colOff>
      <xdr:row>26</xdr:row>
      <xdr:rowOff>3599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7711119" y="1978573"/>
          <a:ext cx="203895" cy="3058255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430544</xdr:colOff>
      <xdr:row>0</xdr:row>
      <xdr:rowOff>149749</xdr:rowOff>
    </xdr:from>
    <xdr:to>
      <xdr:col>2</xdr:col>
      <xdr:colOff>819550</xdr:colOff>
      <xdr:row>4</xdr:row>
      <xdr:rowOff>88343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44" y="149749"/>
          <a:ext cx="1414776" cy="950407"/>
        </a:xfrm>
        <a:prstGeom prst="rect">
          <a:avLst/>
        </a:prstGeom>
      </xdr:spPr>
    </xdr:pic>
    <xdr:clientData/>
  </xdr:twoCellAnchor>
  <xdr:oneCellAnchor>
    <xdr:from>
      <xdr:col>4</xdr:col>
      <xdr:colOff>1032934</xdr:colOff>
      <xdr:row>8</xdr:row>
      <xdr:rowOff>148167</xdr:rowOff>
    </xdr:from>
    <xdr:ext cx="1334724" cy="405432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725334" y="17653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3</xdr:col>
      <xdr:colOff>0</xdr:colOff>
      <xdr:row>66</xdr:row>
      <xdr:rowOff>0</xdr:rowOff>
    </xdr:from>
    <xdr:to>
      <xdr:col>5</xdr:col>
      <xdr:colOff>443523</xdr:colOff>
      <xdr:row>66</xdr:row>
      <xdr:rowOff>114300</xdr:rowOff>
    </xdr:to>
    <xdr:pic>
      <xdr:nvPicPr>
        <xdr:cNvPr id="26" name="Picture 25" descr="page1image1852928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684000"/>
          <a:ext cx="2387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572778</xdr:colOff>
      <xdr:row>66</xdr:row>
      <xdr:rowOff>139700</xdr:rowOff>
    </xdr:from>
    <xdr:to>
      <xdr:col>5</xdr:col>
      <xdr:colOff>315708</xdr:colOff>
      <xdr:row>78</xdr:row>
      <xdr:rowOff>177799</xdr:rowOff>
    </xdr:to>
    <xdr:pic>
      <xdr:nvPicPr>
        <xdr:cNvPr id="28" name="Picture 27" descr="page1image16659456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224" y="14971486"/>
          <a:ext cx="2515386" cy="247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418418</xdr:colOff>
      <xdr:row>67</xdr:row>
      <xdr:rowOff>38100</xdr:rowOff>
    </xdr:from>
    <xdr:to>
      <xdr:col>2</xdr:col>
      <xdr:colOff>532718</xdr:colOff>
      <xdr:row>79</xdr:row>
      <xdr:rowOff>1518</xdr:rowOff>
    </xdr:to>
    <xdr:pic>
      <xdr:nvPicPr>
        <xdr:cNvPr id="29" name="Picture 28" descr="page1image1853120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864" y="15073993"/>
          <a:ext cx="114300" cy="240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597347</xdr:colOff>
      <xdr:row>79</xdr:row>
      <xdr:rowOff>96384</xdr:rowOff>
    </xdr:from>
    <xdr:to>
      <xdr:col>3</xdr:col>
      <xdr:colOff>35757</xdr:colOff>
      <xdr:row>79</xdr:row>
      <xdr:rowOff>187591</xdr:rowOff>
    </xdr:to>
    <xdr:pic>
      <xdr:nvPicPr>
        <xdr:cNvPr id="30" name="Picture 29" descr="page1image185331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793" y="17570223"/>
          <a:ext cx="266178" cy="9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39378</xdr:colOff>
      <xdr:row>67</xdr:row>
      <xdr:rowOff>177800</xdr:rowOff>
    </xdr:from>
    <xdr:to>
      <xdr:col>5</xdr:col>
      <xdr:colOff>51101</xdr:colOff>
      <xdr:row>77</xdr:row>
      <xdr:rowOff>4261</xdr:rowOff>
    </xdr:to>
    <xdr:pic>
      <xdr:nvPicPr>
        <xdr:cNvPr id="31" name="Picture 30" descr="page1image33174768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592" y="15213693"/>
          <a:ext cx="1956411" cy="1867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660400</xdr:colOff>
      <xdr:row>79</xdr:row>
      <xdr:rowOff>0</xdr:rowOff>
    </xdr:from>
    <xdr:to>
      <xdr:col>6</xdr:col>
      <xdr:colOff>88899</xdr:colOff>
      <xdr:row>85</xdr:row>
      <xdr:rowOff>38100</xdr:rowOff>
    </xdr:to>
    <xdr:pic>
      <xdr:nvPicPr>
        <xdr:cNvPr id="32" name="Picture 31" descr="page1image16660288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312900"/>
          <a:ext cx="2540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26678</xdr:colOff>
      <xdr:row>72</xdr:row>
      <xdr:rowOff>114300</xdr:rowOff>
    </xdr:from>
    <xdr:to>
      <xdr:col>3</xdr:col>
      <xdr:colOff>52078</xdr:colOff>
      <xdr:row>82</xdr:row>
      <xdr:rowOff>177801</xdr:rowOff>
    </xdr:to>
    <xdr:pic>
      <xdr:nvPicPr>
        <xdr:cNvPr id="33" name="Picture 32" descr="page1image185388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892" y="16170729"/>
          <a:ext cx="25400" cy="209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740146</xdr:colOff>
      <xdr:row>82</xdr:row>
      <xdr:rowOff>88900</xdr:rowOff>
    </xdr:from>
    <xdr:to>
      <xdr:col>3</xdr:col>
      <xdr:colOff>140978</xdr:colOff>
      <xdr:row>84</xdr:row>
      <xdr:rowOff>38099</xdr:rowOff>
    </xdr:to>
    <xdr:pic>
      <xdr:nvPicPr>
        <xdr:cNvPr id="35" name="Picture 34" descr="page1image3317398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592" y="18175061"/>
          <a:ext cx="228600" cy="35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146071</xdr:colOff>
      <xdr:row>67</xdr:row>
      <xdr:rowOff>3733</xdr:rowOff>
    </xdr:from>
    <xdr:to>
      <xdr:col>9</xdr:col>
      <xdr:colOff>95270</xdr:colOff>
      <xdr:row>75</xdr:row>
      <xdr:rowOff>63498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7E482-4DE1-964F-8A9B-C97CDD09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49809" y="14602798"/>
          <a:ext cx="2441723" cy="1673971"/>
        </a:xfrm>
        <a:prstGeom prst="rect">
          <a:avLst/>
        </a:prstGeom>
      </xdr:spPr>
    </xdr:pic>
    <xdr:clientData/>
  </xdr:twoCellAnchor>
  <xdr:twoCellAnchor editAs="oneCell">
    <xdr:from>
      <xdr:col>6</xdr:col>
      <xdr:colOff>150602</xdr:colOff>
      <xdr:row>75</xdr:row>
      <xdr:rowOff>139700</xdr:rowOff>
    </xdr:from>
    <xdr:to>
      <xdr:col>9</xdr:col>
      <xdr:colOff>103687</xdr:colOff>
      <xdr:row>84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3A68ED-51E1-5844-8931-5E842B2A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54340" y="16352971"/>
          <a:ext cx="2445609" cy="1740612"/>
        </a:xfrm>
        <a:prstGeom prst="rect">
          <a:avLst/>
        </a:prstGeom>
      </xdr:spPr>
    </xdr:pic>
    <xdr:clientData/>
  </xdr:twoCellAnchor>
  <xdr:twoCellAnchor>
    <xdr:from>
      <xdr:col>11</xdr:col>
      <xdr:colOff>220069</xdr:colOff>
      <xdr:row>25</xdr:row>
      <xdr:rowOff>164728</xdr:rowOff>
    </xdr:from>
    <xdr:to>
      <xdr:col>11</xdr:col>
      <xdr:colOff>334769</xdr:colOff>
      <xdr:row>26</xdr:row>
      <xdr:rowOff>155011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D26CEEA-8D6B-5A19-E15C-450CBB6F4AD9}"/>
            </a:ext>
          </a:extLst>
        </xdr:cNvPr>
        <xdr:cNvSpPr/>
      </xdr:nvSpPr>
      <xdr:spPr>
        <a:xfrm>
          <a:off x="9412956" y="5414770"/>
          <a:ext cx="114700" cy="18158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186267</xdr:colOff>
      <xdr:row>25</xdr:row>
      <xdr:rowOff>135467</xdr:rowOff>
    </xdr:from>
    <xdr:to>
      <xdr:col>9</xdr:col>
      <xdr:colOff>609600</xdr:colOff>
      <xdr:row>26</xdr:row>
      <xdr:rowOff>16934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5885BA1-C1AB-FC18-0C98-702EFE337739}"/>
            </a:ext>
          </a:extLst>
        </xdr:cNvPr>
        <xdr:cNvSpPr/>
      </xdr:nvSpPr>
      <xdr:spPr>
        <a:xfrm>
          <a:off x="1219200" y="5063067"/>
          <a:ext cx="6519333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474133</xdr:colOff>
      <xdr:row>6</xdr:row>
      <xdr:rowOff>0</xdr:rowOff>
    </xdr:from>
    <xdr:to>
      <xdr:col>10</xdr:col>
      <xdr:colOff>364066</xdr:colOff>
      <xdr:row>8</xdr:row>
      <xdr:rowOff>84667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52BFBC33-EA33-DECA-BB4D-CD250E131B49}"/>
            </a:ext>
          </a:extLst>
        </xdr:cNvPr>
        <xdr:cNvSpPr/>
      </xdr:nvSpPr>
      <xdr:spPr>
        <a:xfrm>
          <a:off x="474133" y="1227667"/>
          <a:ext cx="7848600" cy="474133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676715</xdr:colOff>
      <xdr:row>25</xdr:row>
      <xdr:rowOff>115831</xdr:rowOff>
    </xdr:from>
    <xdr:to>
      <xdr:col>1</xdr:col>
      <xdr:colOff>682573</xdr:colOff>
      <xdr:row>26</xdr:row>
      <xdr:rowOff>134416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A3BFCCA5-8ABE-9E63-A267-A76815DDB0A2}"/>
            </a:ext>
          </a:extLst>
        </xdr:cNvPr>
        <xdr:cNvCxnSpPr/>
      </xdr:nvCxnSpPr>
      <xdr:spPr>
        <a:xfrm flipV="1">
          <a:off x="1135901" y="5340619"/>
          <a:ext cx="5858" cy="2088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802473</xdr:colOff>
      <xdr:row>5</xdr:row>
      <xdr:rowOff>167473</xdr:rowOff>
    </xdr:from>
    <xdr:to>
      <xdr:col>11</xdr:col>
      <xdr:colOff>802473</xdr:colOff>
      <xdr:row>8</xdr:row>
      <xdr:rowOff>125604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26F03CB9-4531-C648-9D68-BFA22FBE5163}"/>
            </a:ext>
          </a:extLst>
        </xdr:cNvPr>
        <xdr:cNvCxnSpPr/>
      </xdr:nvCxnSpPr>
      <xdr:spPr>
        <a:xfrm flipV="1">
          <a:off x="9531978" y="1193242"/>
          <a:ext cx="0" cy="5233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307942</xdr:colOff>
      <xdr:row>78</xdr:row>
      <xdr:rowOff>59347</xdr:rowOff>
    </xdr:from>
    <xdr:to>
      <xdr:col>11</xdr:col>
      <xdr:colOff>772239</xdr:colOff>
      <xdr:row>85</xdr:row>
      <xdr:rowOff>71217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2B39C0F-5AA2-A541-83B9-69D94DF9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4204" y="16866076"/>
          <a:ext cx="2125979" cy="1412430"/>
        </a:xfrm>
        <a:prstGeom prst="rect">
          <a:avLst/>
        </a:prstGeom>
      </xdr:spPr>
    </xdr:pic>
    <xdr:clientData/>
  </xdr:twoCellAnchor>
  <xdr:twoCellAnchor>
    <xdr:from>
      <xdr:col>11</xdr:col>
      <xdr:colOff>142430</xdr:colOff>
      <xdr:row>5</xdr:row>
      <xdr:rowOff>0</xdr:rowOff>
    </xdr:from>
    <xdr:to>
      <xdr:col>11</xdr:col>
      <xdr:colOff>735888</xdr:colOff>
      <xdr:row>5</xdr:row>
      <xdr:rowOff>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A645632-C161-4646-BBA9-F73F32B3A6FE}"/>
            </a:ext>
          </a:extLst>
        </xdr:cNvPr>
        <xdr:cNvCxnSpPr/>
      </xdr:nvCxnSpPr>
      <xdr:spPr>
        <a:xfrm>
          <a:off x="9400374" y="1210654"/>
          <a:ext cx="5934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719804</xdr:colOff>
      <xdr:row>8</xdr:row>
      <xdr:rowOff>127000</xdr:rowOff>
    </xdr:from>
    <xdr:to>
      <xdr:col>1</xdr:col>
      <xdr:colOff>723900</xdr:colOff>
      <xdr:row>11</xdr:row>
      <xdr:rowOff>66189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65E9B6B-D302-758D-CA80-9FBF19F8A07B}"/>
            </a:ext>
          </a:extLst>
        </xdr:cNvPr>
        <xdr:cNvCxnSpPr/>
      </xdr:nvCxnSpPr>
      <xdr:spPr>
        <a:xfrm flipH="1">
          <a:off x="1178990" y="1914101"/>
          <a:ext cx="4096" cy="51006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26</xdr:row>
      <xdr:rowOff>12700</xdr:rowOff>
    </xdr:from>
    <xdr:to>
      <xdr:col>9</xdr:col>
      <xdr:colOff>393700</xdr:colOff>
      <xdr:row>26</xdr:row>
      <xdr:rowOff>12700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59B3E06-95DF-8C47-A3E1-38330DBBC49A}"/>
            </a:ext>
          </a:extLst>
        </xdr:cNvPr>
        <xdr:cNvCxnSpPr/>
      </xdr:nvCxnSpPr>
      <xdr:spPr>
        <a:xfrm>
          <a:off x="1181100" y="5575300"/>
          <a:ext cx="6870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12</xdr:row>
      <xdr:rowOff>76200</xdr:rowOff>
    </xdr:from>
    <xdr:to>
      <xdr:col>9</xdr:col>
      <xdr:colOff>317500</xdr:colOff>
      <xdr:row>27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67931B4-9986-4146-9DA3-3752051FFB2D}"/>
            </a:ext>
          </a:extLst>
        </xdr:cNvPr>
        <xdr:cNvCxnSpPr/>
      </xdr:nvCxnSpPr>
      <xdr:spPr>
        <a:xfrm flipV="1">
          <a:off x="1168400" y="2565400"/>
          <a:ext cx="6807200" cy="3149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8</xdr:row>
      <xdr:rowOff>25400</xdr:rowOff>
    </xdr:from>
    <xdr:to>
      <xdr:col>11</xdr:col>
      <xdr:colOff>452119</xdr:colOff>
      <xdr:row>28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9DBA9CC-4FD6-2F4A-BAF4-3D2B039F80D3}"/>
            </a:ext>
          </a:extLst>
        </xdr:cNvPr>
        <xdr:cNvSpPr>
          <a:spLocks noChangeArrowheads="1"/>
        </xdr:cNvSpPr>
      </xdr:nvSpPr>
      <xdr:spPr bwMode="auto">
        <a:xfrm>
          <a:off x="9715500" y="1752600"/>
          <a:ext cx="45719" cy="40386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6</xdr:row>
      <xdr:rowOff>103372</xdr:rowOff>
    </xdr:from>
    <xdr:to>
      <xdr:col>11</xdr:col>
      <xdr:colOff>27940</xdr:colOff>
      <xdr:row>28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26A9088-883C-4642-826E-F26F795EF605}"/>
            </a:ext>
          </a:extLst>
        </xdr:cNvPr>
        <xdr:cNvCxnSpPr/>
      </xdr:nvCxnSpPr>
      <xdr:spPr>
        <a:xfrm>
          <a:off x="9323868" y="1436872"/>
          <a:ext cx="13172" cy="44813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805180</xdr:colOff>
      <xdr:row>29</xdr:row>
      <xdr:rowOff>50800</xdr:rowOff>
    </xdr:from>
    <xdr:to>
      <xdr:col>9</xdr:col>
      <xdr:colOff>723900</xdr:colOff>
      <xdr:row>29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8DD9A41-9664-3348-A970-3E5416C0645B}"/>
            </a:ext>
          </a:extLst>
        </xdr:cNvPr>
        <xdr:cNvCxnSpPr/>
      </xdr:nvCxnSpPr>
      <xdr:spPr>
        <a:xfrm flipV="1">
          <a:off x="805180" y="5994400"/>
          <a:ext cx="757682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25400</xdr:rowOff>
    </xdr:from>
    <xdr:to>
      <xdr:col>3</xdr:col>
      <xdr:colOff>0</xdr:colOff>
      <xdr:row>27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5B2B075-2F9F-C647-B217-C0B8EFC21500}"/>
            </a:ext>
          </a:extLst>
        </xdr:cNvPr>
        <xdr:cNvCxnSpPr/>
      </xdr:nvCxnSpPr>
      <xdr:spPr>
        <a:xfrm>
          <a:off x="2413000" y="2514600"/>
          <a:ext cx="0" cy="3175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812800</xdr:colOff>
      <xdr:row>28</xdr:row>
      <xdr:rowOff>63500</xdr:rowOff>
    </xdr:from>
    <xdr:to>
      <xdr:col>9</xdr:col>
      <xdr:colOff>762000</xdr:colOff>
      <xdr:row>28</xdr:row>
      <xdr:rowOff>63500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A3F0FCE-B823-F845-A8AB-F65BB5CB2E93}"/>
            </a:ext>
          </a:extLst>
        </xdr:cNvPr>
        <xdr:cNvCxnSpPr/>
      </xdr:nvCxnSpPr>
      <xdr:spPr>
        <a:xfrm>
          <a:off x="812800" y="5816600"/>
          <a:ext cx="7607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584200</xdr:colOff>
      <xdr:row>5</xdr:row>
      <xdr:rowOff>215900</xdr:rowOff>
    </xdr:from>
    <xdr:to>
      <xdr:col>10</xdr:col>
      <xdr:colOff>190500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255A0F4-0105-AF49-A61B-6B30C38FD8D2}"/>
            </a:ext>
          </a:extLst>
        </xdr:cNvPr>
        <xdr:cNvCxnSpPr/>
      </xdr:nvCxnSpPr>
      <xdr:spPr>
        <a:xfrm>
          <a:off x="584200" y="1295400"/>
          <a:ext cx="8089900" cy="6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43180</xdr:rowOff>
    </xdr:from>
    <xdr:to>
      <xdr:col>11</xdr:col>
      <xdr:colOff>686686</xdr:colOff>
      <xdr:row>28</xdr:row>
      <xdr:rowOff>177209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D08E314-93F2-5543-B132-B340CBF527A0}"/>
            </a:ext>
          </a:extLst>
        </xdr:cNvPr>
        <xdr:cNvCxnSpPr/>
      </xdr:nvCxnSpPr>
      <xdr:spPr>
        <a:xfrm>
          <a:off x="9994900" y="1960880"/>
          <a:ext cx="886" cy="39694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469900</xdr:colOff>
      <xdr:row>50</xdr:row>
      <xdr:rowOff>63500</xdr:rowOff>
    </xdr:from>
    <xdr:to>
      <xdr:col>9</xdr:col>
      <xdr:colOff>228601</xdr:colOff>
      <xdr:row>63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FCF0BF-2281-8F4D-B02D-8583997D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811000"/>
          <a:ext cx="3060701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316948</xdr:colOff>
      <xdr:row>52</xdr:row>
      <xdr:rowOff>25400</xdr:rowOff>
    </xdr:from>
    <xdr:to>
      <xdr:col>11</xdr:col>
      <xdr:colOff>927099</xdr:colOff>
      <xdr:row>59</xdr:row>
      <xdr:rowOff>177800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662D18-6310-794D-999A-E740472A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5048" y="12141200"/>
          <a:ext cx="2261151" cy="14859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9</xdr:row>
      <xdr:rowOff>1085</xdr:rowOff>
    </xdr:from>
    <xdr:ext cx="1334724" cy="405432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F75C03F-584C-B249-A33F-4ABFD1ED27A4}"/>
            </a:ext>
          </a:extLst>
        </xdr:cNvPr>
        <xdr:cNvSpPr/>
      </xdr:nvSpPr>
      <xdr:spPr>
        <a:xfrm>
          <a:off x="4476138" y="19187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10</xdr:col>
      <xdr:colOff>279400</xdr:colOff>
      <xdr:row>61</xdr:row>
      <xdr:rowOff>38100</xdr:rowOff>
    </xdr:from>
    <xdr:to>
      <xdr:col>11</xdr:col>
      <xdr:colOff>859588</xdr:colOff>
      <xdr:row>65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3B709E-B491-4642-B4B2-84B6C9F2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138684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596900</xdr:colOff>
      <xdr:row>6</xdr:row>
      <xdr:rowOff>127000</xdr:rowOff>
    </xdr:from>
    <xdr:to>
      <xdr:col>10</xdr:col>
      <xdr:colOff>241300</xdr:colOff>
      <xdr:row>9</xdr:row>
      <xdr:rowOff>25400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79FD0E3-4CE9-F842-B102-DF440D033DA5}"/>
            </a:ext>
          </a:extLst>
        </xdr:cNvPr>
        <xdr:cNvSpPr/>
      </xdr:nvSpPr>
      <xdr:spPr>
        <a:xfrm>
          <a:off x="596900" y="1460500"/>
          <a:ext cx="81280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27</xdr:row>
      <xdr:rowOff>127000</xdr:rowOff>
    </xdr:from>
    <xdr:to>
      <xdr:col>11</xdr:col>
      <xdr:colOff>503864</xdr:colOff>
      <xdr:row>28</xdr:row>
      <xdr:rowOff>165100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98BBA91-3518-6E4A-9F40-3804C7524031}"/>
            </a:ext>
          </a:extLst>
        </xdr:cNvPr>
        <xdr:cNvSpPr/>
      </xdr:nvSpPr>
      <xdr:spPr>
        <a:xfrm>
          <a:off x="9647864" y="5689600"/>
          <a:ext cx="165100" cy="2286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312900</xdr:colOff>
      <xdr:row>6</xdr:row>
      <xdr:rowOff>86428</xdr:rowOff>
    </xdr:from>
    <xdr:to>
      <xdr:col>11</xdr:col>
      <xdr:colOff>751525</xdr:colOff>
      <xdr:row>9</xdr:row>
      <xdr:rowOff>13080</xdr:rowOff>
    </xdr:to>
    <xdr:sp macro="" textlink="">
      <xdr:nvSpPr>
        <xdr:cNvPr id="21" name="Chord 20">
          <a:extLst>
            <a:ext uri="{FF2B5EF4-FFF2-40B4-BE49-F238E27FC236}">
              <a16:creationId xmlns:a16="http://schemas.microsoft.com/office/drawing/2014/main" id="{DB6D72D1-1900-6542-AA4B-ED78143A747D}"/>
            </a:ext>
          </a:extLst>
        </xdr:cNvPr>
        <xdr:cNvSpPr/>
      </xdr:nvSpPr>
      <xdr:spPr>
        <a:xfrm rot="12149461">
          <a:off x="9622000" y="1419928"/>
          <a:ext cx="438625" cy="510852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6</xdr:row>
      <xdr:rowOff>88605</xdr:rowOff>
    </xdr:from>
    <xdr:to>
      <xdr:col>11</xdr:col>
      <xdr:colOff>553779</xdr:colOff>
      <xdr:row>9</xdr:row>
      <xdr:rowOff>25400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9E3E385-A495-FC48-B701-02049AEC8C0B}"/>
            </a:ext>
          </a:extLst>
        </xdr:cNvPr>
        <xdr:cNvSpPr/>
      </xdr:nvSpPr>
      <xdr:spPr>
        <a:xfrm>
          <a:off x="9397705" y="1422105"/>
          <a:ext cx="465174" cy="52099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6</xdr:row>
      <xdr:rowOff>103372</xdr:rowOff>
    </xdr:from>
    <xdr:to>
      <xdr:col>10</xdr:col>
      <xdr:colOff>635000</xdr:colOff>
      <xdr:row>8</xdr:row>
      <xdr:rowOff>169826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CF0600E-A764-5841-BB2A-B624C2F58DDE}"/>
            </a:ext>
          </a:extLst>
        </xdr:cNvPr>
        <xdr:cNvCxnSpPr/>
      </xdr:nvCxnSpPr>
      <xdr:spPr>
        <a:xfrm flipH="1">
          <a:off x="9111217" y="1436872"/>
          <a:ext cx="7383" cy="46015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9</xdr:row>
      <xdr:rowOff>12700</xdr:rowOff>
    </xdr:from>
    <xdr:to>
      <xdr:col>9</xdr:col>
      <xdr:colOff>685800</xdr:colOff>
      <xdr:row>12</xdr:row>
      <xdr:rowOff>12700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6F57EE39-2432-0953-9127-D99745C2A393}"/>
            </a:ext>
          </a:extLst>
        </xdr:cNvPr>
        <xdr:cNvSpPr/>
      </xdr:nvSpPr>
      <xdr:spPr>
        <a:xfrm>
          <a:off x="901700" y="1930400"/>
          <a:ext cx="7442200" cy="571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ln>
              <a:solidFill>
                <a:schemeClr val="bg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736599</xdr:colOff>
      <xdr:row>9</xdr:row>
      <xdr:rowOff>127000</xdr:rowOff>
    </xdr:from>
    <xdr:to>
      <xdr:col>6</xdr:col>
      <xdr:colOff>321732</xdr:colOff>
      <xdr:row>10</xdr:row>
      <xdr:rowOff>177800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3453427-6A72-9500-94E7-9AE7EB80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75099" y="2044700"/>
          <a:ext cx="1528233" cy="24130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12</xdr:row>
      <xdr:rowOff>25400</xdr:rowOff>
    </xdr:from>
    <xdr:to>
      <xdr:col>9</xdr:col>
      <xdr:colOff>660400</xdr:colOff>
      <xdr:row>28</xdr:row>
      <xdr:rowOff>25400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838CED92-D222-D82A-67B7-0187DAEC4E24}"/>
            </a:ext>
          </a:extLst>
        </xdr:cNvPr>
        <xdr:cNvSpPr/>
      </xdr:nvSpPr>
      <xdr:spPr>
        <a:xfrm>
          <a:off x="914400" y="2514600"/>
          <a:ext cx="7404100" cy="3263900"/>
        </a:xfrm>
        <a:prstGeom prst="rect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88900</xdr:colOff>
      <xdr:row>11</xdr:row>
      <xdr:rowOff>177800</xdr:rowOff>
    </xdr:from>
    <xdr:to>
      <xdr:col>1</xdr:col>
      <xdr:colOff>317500</xdr:colOff>
      <xdr:row>28</xdr:row>
      <xdr:rowOff>50800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47C6713D-893E-F544-E683-885CBE1D62F9}"/>
            </a:ext>
          </a:extLst>
        </xdr:cNvPr>
        <xdr:cNvSpPr/>
      </xdr:nvSpPr>
      <xdr:spPr>
        <a:xfrm>
          <a:off x="914400" y="2476500"/>
          <a:ext cx="228600" cy="3327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431800</xdr:colOff>
      <xdr:row>11</xdr:row>
      <xdr:rowOff>114300</xdr:rowOff>
    </xdr:from>
    <xdr:to>
      <xdr:col>9</xdr:col>
      <xdr:colOff>660400</xdr:colOff>
      <xdr:row>28</xdr:row>
      <xdr:rowOff>63500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08AC3BE-A536-F54F-AA63-3427B0AE5B94}"/>
            </a:ext>
          </a:extLst>
        </xdr:cNvPr>
        <xdr:cNvSpPr/>
      </xdr:nvSpPr>
      <xdr:spPr>
        <a:xfrm>
          <a:off x="8089900" y="2413000"/>
          <a:ext cx="228600" cy="3403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76200</xdr:colOff>
      <xdr:row>9</xdr:row>
      <xdr:rowOff>25400</xdr:rowOff>
    </xdr:from>
    <xdr:to>
      <xdr:col>2</xdr:col>
      <xdr:colOff>228600</xdr:colOff>
      <xdr:row>21</xdr:row>
      <xdr:rowOff>50800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7C78585E-D70C-8E28-E82B-5EE5FBB9ACE7}"/>
            </a:ext>
          </a:extLst>
        </xdr:cNvPr>
        <xdr:cNvSpPr/>
      </xdr:nvSpPr>
      <xdr:spPr>
        <a:xfrm>
          <a:off x="901700" y="1943100"/>
          <a:ext cx="914400" cy="252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584200</xdr:colOff>
      <xdr:row>9</xdr:row>
      <xdr:rowOff>25400</xdr:rowOff>
    </xdr:from>
    <xdr:to>
      <xdr:col>9</xdr:col>
      <xdr:colOff>673100</xdr:colOff>
      <xdr:row>21</xdr:row>
      <xdr:rowOff>50800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B42E9173-ABA4-7847-83D6-6989CC1C874B}"/>
            </a:ext>
          </a:extLst>
        </xdr:cNvPr>
        <xdr:cNvSpPr/>
      </xdr:nvSpPr>
      <xdr:spPr>
        <a:xfrm>
          <a:off x="7416800" y="1943100"/>
          <a:ext cx="914400" cy="252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292100</xdr:colOff>
      <xdr:row>17</xdr:row>
      <xdr:rowOff>0</xdr:rowOff>
    </xdr:from>
    <xdr:to>
      <xdr:col>8</xdr:col>
      <xdr:colOff>520700</xdr:colOff>
      <xdr:row>17</xdr:row>
      <xdr:rowOff>38100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A3C20422-C41A-0788-666A-870D79583BE8}"/>
            </a:ext>
          </a:extLst>
        </xdr:cNvPr>
        <xdr:cNvCxnSpPr/>
      </xdr:nvCxnSpPr>
      <xdr:spPr>
        <a:xfrm flipV="1">
          <a:off x="1879600" y="3441700"/>
          <a:ext cx="5473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681788</xdr:colOff>
      <xdr:row>4</xdr:row>
      <xdr:rowOff>152400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B82E60C-9556-9241-B579-BF4F0C86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762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12</xdr:row>
      <xdr:rowOff>12700</xdr:rowOff>
    </xdr:from>
    <xdr:to>
      <xdr:col>1</xdr:col>
      <xdr:colOff>63500</xdr:colOff>
      <xdr:row>12</xdr:row>
      <xdr:rowOff>12700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CE58D9A4-4E96-EE4A-6213-48BAEBBD80D0}"/>
            </a:ext>
          </a:extLst>
        </xdr:cNvPr>
        <xdr:cNvCxnSpPr/>
      </xdr:nvCxnSpPr>
      <xdr:spPr>
        <a:xfrm flipH="1">
          <a:off x="609600" y="2692400"/>
          <a:ext cx="2794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685800</xdr:colOff>
      <xdr:row>9</xdr:row>
      <xdr:rowOff>101600</xdr:rowOff>
    </xdr:from>
    <xdr:to>
      <xdr:col>0</xdr:col>
      <xdr:colOff>685800</xdr:colOff>
      <xdr:row>11</xdr:row>
      <xdr:rowOff>152400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609655DB-A9B1-F62E-AD3B-5C7FEC5B0D19}"/>
            </a:ext>
          </a:extLst>
        </xdr:cNvPr>
        <xdr:cNvCxnSpPr/>
      </xdr:nvCxnSpPr>
      <xdr:spPr>
        <a:xfrm>
          <a:off x="685800" y="2209800"/>
          <a:ext cx="0" cy="431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25884</xdr:colOff>
      <xdr:row>12</xdr:row>
      <xdr:rowOff>75716</xdr:rowOff>
    </xdr:from>
    <xdr:ext cx="405432" cy="114300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14321C2-E344-1E07-CE73-DC381B38A48C}"/>
            </a:ext>
          </a:extLst>
        </xdr:cNvPr>
        <xdr:cNvSpPr txBox="1"/>
      </xdr:nvSpPr>
      <xdr:spPr>
        <a:xfrm rot="16200000">
          <a:off x="7315200" y="3124200"/>
          <a:ext cx="1143000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>
              <a:solidFill>
                <a:schemeClr val="bg1"/>
              </a:solidFill>
            </a:rPr>
            <a:t>MASK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0</xdr:rowOff>
    </xdr:from>
    <xdr:to>
      <xdr:col>10</xdr:col>
      <xdr:colOff>12700</xdr:colOff>
      <xdr:row>14</xdr:row>
      <xdr:rowOff>63500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F0B82F7-565F-F953-B634-E6BB874AA7AB}"/>
            </a:ext>
          </a:extLst>
        </xdr:cNvPr>
        <xdr:cNvSpPr/>
      </xdr:nvSpPr>
      <xdr:spPr>
        <a:xfrm>
          <a:off x="1625600" y="2298700"/>
          <a:ext cx="6870700" cy="8255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</xdr:colOff>
      <xdr:row>23</xdr:row>
      <xdr:rowOff>165100</xdr:rowOff>
    </xdr:from>
    <xdr:to>
      <xdr:col>9</xdr:col>
      <xdr:colOff>797560</xdr:colOff>
      <xdr:row>23</xdr:row>
      <xdr:rowOff>175260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812800" y="46990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</xdr:colOff>
      <xdr:row>8</xdr:row>
      <xdr:rowOff>63500</xdr:rowOff>
    </xdr:from>
    <xdr:to>
      <xdr:col>10</xdr:col>
      <xdr:colOff>25400</xdr:colOff>
      <xdr:row>27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774700" y="1498600"/>
          <a:ext cx="6908800" cy="38227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25400</xdr:colOff>
      <xdr:row>10</xdr:row>
      <xdr:rowOff>0</xdr:rowOff>
    </xdr:from>
    <xdr:to>
      <xdr:col>10</xdr:col>
      <xdr:colOff>0</xdr:colOff>
      <xdr:row>26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 flipV="1">
          <a:off x="787400" y="1866900"/>
          <a:ext cx="6870700" cy="3403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7</xdr:row>
      <xdr:rowOff>25400</xdr:rowOff>
    </xdr:from>
    <xdr:to>
      <xdr:col>11</xdr:col>
      <xdr:colOff>452119</xdr:colOff>
      <xdr:row>27</xdr:row>
      <xdr:rowOff>38101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1275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5</xdr:row>
      <xdr:rowOff>103372</xdr:rowOff>
    </xdr:from>
    <xdr:to>
      <xdr:col>11</xdr:col>
      <xdr:colOff>27940</xdr:colOff>
      <xdr:row>27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>
          <a:off x="8506047" y="1425058"/>
          <a:ext cx="13172" cy="451411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640080</xdr:colOff>
      <xdr:row>28</xdr:row>
      <xdr:rowOff>43180</xdr:rowOff>
    </xdr:from>
    <xdr:to>
      <xdr:col>10</xdr:col>
      <xdr:colOff>205740</xdr:colOff>
      <xdr:row>28</xdr:row>
      <xdr:rowOff>63500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 flipV="1">
          <a:off x="640080" y="55422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371972</xdr:colOff>
      <xdr:row>10</xdr:row>
      <xdr:rowOff>27848</xdr:rowOff>
    </xdr:from>
    <xdr:to>
      <xdr:col>1</xdr:col>
      <xdr:colOff>384672</xdr:colOff>
      <xdr:row>26</xdr:row>
      <xdr:rowOff>129448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 flipH="1">
          <a:off x="1198237" y="2330679"/>
          <a:ext cx="12700" cy="3376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27</xdr:row>
      <xdr:rowOff>63500</xdr:rowOff>
    </xdr:from>
    <xdr:to>
      <xdr:col>10</xdr:col>
      <xdr:colOff>203200</xdr:colOff>
      <xdr:row>27</xdr:row>
      <xdr:rowOff>63500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635000" y="54102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4</xdr:row>
      <xdr:rowOff>215900</xdr:rowOff>
    </xdr:from>
    <xdr:to>
      <xdr:col>10</xdr:col>
      <xdr:colOff>304800</xdr:colOff>
      <xdr:row>5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>
          <a:off x="584200" y="7874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8</xdr:row>
      <xdr:rowOff>43180</xdr:rowOff>
    </xdr:from>
    <xdr:to>
      <xdr:col>11</xdr:col>
      <xdr:colOff>686686</xdr:colOff>
      <xdr:row>27</xdr:row>
      <xdr:rowOff>177209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CxnSpPr/>
      </xdr:nvCxnSpPr>
      <xdr:spPr>
        <a:xfrm>
          <a:off x="9177079" y="1955564"/>
          <a:ext cx="886" cy="39957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660400</xdr:colOff>
      <xdr:row>14</xdr:row>
      <xdr:rowOff>88900</xdr:rowOff>
    </xdr:from>
    <xdr:to>
      <xdr:col>8</xdr:col>
      <xdr:colOff>673100</xdr:colOff>
      <xdr:row>26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CxnSpPr/>
      </xdr:nvCxnSpPr>
      <xdr:spPr>
        <a:xfrm>
          <a:off x="7493000" y="3149600"/>
          <a:ext cx="12700" cy="2527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317500</xdr:colOff>
      <xdr:row>51</xdr:row>
      <xdr:rowOff>12700</xdr:rowOff>
    </xdr:from>
    <xdr:to>
      <xdr:col>9</xdr:col>
      <xdr:colOff>76201</xdr:colOff>
      <xdr:row>64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0" y="11557000"/>
          <a:ext cx="3060701" cy="2565400"/>
        </a:xfrm>
        <a:prstGeom prst="rect">
          <a:avLst/>
        </a:prstGeom>
      </xdr:spPr>
    </xdr:pic>
    <xdr:clientData/>
  </xdr:twoCellAnchor>
  <xdr:twoCellAnchor editAs="oneCell">
    <xdr:from>
      <xdr:col>9</xdr:col>
      <xdr:colOff>62948</xdr:colOff>
      <xdr:row>52</xdr:row>
      <xdr:rowOff>25400</xdr:rowOff>
    </xdr:from>
    <xdr:to>
      <xdr:col>11</xdr:col>
      <xdr:colOff>673099</xdr:colOff>
      <xdr:row>60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1048" y="11747500"/>
          <a:ext cx="2261151" cy="15494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8</xdr:row>
      <xdr:rowOff>1085</xdr:rowOff>
    </xdr:from>
    <xdr:ext cx="1334724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oneCellAnchor>
    <xdr:from>
      <xdr:col>5</xdr:col>
      <xdr:colOff>381544</xdr:colOff>
      <xdr:row>11</xdr:row>
      <xdr:rowOff>191585</xdr:rowOff>
    </xdr:from>
    <xdr:ext cx="7609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3912144" y="2236285"/>
          <a:ext cx="7609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Mask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622300</xdr:colOff>
      <xdr:row>0</xdr:row>
      <xdr:rowOff>63500</xdr:rowOff>
    </xdr:from>
    <xdr:to>
      <xdr:col>3</xdr:col>
      <xdr:colOff>440488</xdr:colOff>
      <xdr:row>3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660400</xdr:colOff>
      <xdr:row>61</xdr:row>
      <xdr:rowOff>25400</xdr:rowOff>
    </xdr:from>
    <xdr:to>
      <xdr:col>11</xdr:col>
      <xdr:colOff>415088</xdr:colOff>
      <xdr:row>65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1</xdr:col>
      <xdr:colOff>584200</xdr:colOff>
      <xdr:row>5</xdr:row>
      <xdr:rowOff>127000</xdr:rowOff>
    </xdr:from>
    <xdr:to>
      <xdr:col>10</xdr:col>
      <xdr:colOff>266700</xdr:colOff>
      <xdr:row>8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674015-F8FB-0FE8-2126-AB9A8E69D8E0}"/>
            </a:ext>
          </a:extLst>
        </xdr:cNvPr>
        <xdr:cNvSpPr/>
      </xdr:nvSpPr>
      <xdr:spPr>
        <a:xfrm>
          <a:off x="584200" y="952500"/>
          <a:ext cx="73406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26</xdr:row>
      <xdr:rowOff>127000</xdr:rowOff>
    </xdr:from>
    <xdr:to>
      <xdr:col>11</xdr:col>
      <xdr:colOff>503864</xdr:colOff>
      <xdr:row>27</xdr:row>
      <xdr:rowOff>165100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1102EBBB-AC23-66B8-BAD5-35941F6E83AE}"/>
            </a:ext>
          </a:extLst>
        </xdr:cNvPr>
        <xdr:cNvSpPr/>
      </xdr:nvSpPr>
      <xdr:spPr>
        <a:xfrm>
          <a:off x="8830043" y="5709093"/>
          <a:ext cx="165100" cy="230077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327081</xdr:colOff>
      <xdr:row>5</xdr:row>
      <xdr:rowOff>89248</xdr:rowOff>
    </xdr:from>
    <xdr:to>
      <xdr:col>11</xdr:col>
      <xdr:colOff>765706</xdr:colOff>
      <xdr:row>7</xdr:row>
      <xdr:rowOff>132264</xdr:rowOff>
    </xdr:to>
    <xdr:sp macro="" textlink="">
      <xdr:nvSpPr>
        <xdr:cNvPr id="29" name="Chord 28">
          <a:extLst>
            <a:ext uri="{FF2B5EF4-FFF2-40B4-BE49-F238E27FC236}">
              <a16:creationId xmlns:a16="http://schemas.microsoft.com/office/drawing/2014/main" id="{291915D7-7173-CC41-E49E-D7BE45E82BBA}"/>
            </a:ext>
          </a:extLst>
        </xdr:cNvPr>
        <xdr:cNvSpPr/>
      </xdr:nvSpPr>
      <xdr:spPr>
        <a:xfrm rot="12149461">
          <a:off x="8818360" y="1410934"/>
          <a:ext cx="438625" cy="441737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5</xdr:row>
      <xdr:rowOff>88605</xdr:rowOff>
    </xdr:from>
    <xdr:to>
      <xdr:col>11</xdr:col>
      <xdr:colOff>553779</xdr:colOff>
      <xdr:row>7</xdr:row>
      <xdr:rowOff>140292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CCB79CC-44E2-70C1-3C0D-F0F80D5A72BA}"/>
            </a:ext>
          </a:extLst>
        </xdr:cNvPr>
        <xdr:cNvSpPr/>
      </xdr:nvSpPr>
      <xdr:spPr>
        <a:xfrm>
          <a:off x="8579884" y="1410291"/>
          <a:ext cx="465174" cy="45040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5</xdr:row>
      <xdr:rowOff>103372</xdr:rowOff>
    </xdr:from>
    <xdr:to>
      <xdr:col>10</xdr:col>
      <xdr:colOff>635000</xdr:colOff>
      <xdr:row>7</xdr:row>
      <xdr:rowOff>169826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D48C73ED-8570-11A5-B391-0E5E7C699E34}"/>
            </a:ext>
          </a:extLst>
        </xdr:cNvPr>
        <xdr:cNvCxnSpPr/>
      </xdr:nvCxnSpPr>
      <xdr:spPr>
        <a:xfrm flipH="1">
          <a:off x="8291919" y="1425058"/>
          <a:ext cx="7383" cy="465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367229</xdr:colOff>
      <xdr:row>26</xdr:row>
      <xdr:rowOff>130058</xdr:rowOff>
    </xdr:from>
    <xdr:to>
      <xdr:col>1</xdr:col>
      <xdr:colOff>368300</xdr:colOff>
      <xdr:row>27</xdr:row>
      <xdr:rowOff>152398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1E58639-BAA7-A446-B369-2600279E0343}"/>
            </a:ext>
          </a:extLst>
        </xdr:cNvPr>
        <xdr:cNvCxnSpPr/>
      </xdr:nvCxnSpPr>
      <xdr:spPr>
        <a:xfrm>
          <a:off x="1193494" y="5707347"/>
          <a:ext cx="1071" cy="2136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374880</xdr:colOff>
      <xdr:row>8</xdr:row>
      <xdr:rowOff>30603</xdr:rowOff>
    </xdr:from>
    <xdr:to>
      <xdr:col>1</xdr:col>
      <xdr:colOff>382530</xdr:colOff>
      <xdr:row>10</xdr:row>
      <xdr:rowOff>30603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5C0D44A7-87C3-A9CF-A4A4-3A959CD32BE4}"/>
            </a:ext>
          </a:extLst>
        </xdr:cNvPr>
        <xdr:cNvCxnSpPr/>
      </xdr:nvCxnSpPr>
      <xdr:spPr>
        <a:xfrm>
          <a:off x="1201145" y="1950904"/>
          <a:ext cx="7650" cy="38253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165100</xdr:rowOff>
    </xdr:from>
    <xdr:to>
      <xdr:col>8</xdr:col>
      <xdr:colOff>797560</xdr:colOff>
      <xdr:row>21</xdr:row>
      <xdr:rowOff>175260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812800" y="46482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63500</xdr:rowOff>
    </xdr:from>
    <xdr:to>
      <xdr:col>9</xdr:col>
      <xdr:colOff>12700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762000" y="1498600"/>
          <a:ext cx="6908800" cy="38100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25400</xdr:colOff>
      <xdr:row>8</xdr:row>
      <xdr:rowOff>0</xdr:rowOff>
    </xdr:from>
    <xdr:to>
      <xdr:col>9</xdr:col>
      <xdr:colOff>0</xdr:colOff>
      <xdr:row>24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 flipV="1">
          <a:off x="787400" y="1841500"/>
          <a:ext cx="6870700" cy="3378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406400</xdr:colOff>
      <xdr:row>5</xdr:row>
      <xdr:rowOff>25400</xdr:rowOff>
    </xdr:from>
    <xdr:to>
      <xdr:col>10</xdr:col>
      <xdr:colOff>452119</xdr:colOff>
      <xdr:row>25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0767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22860</xdr:colOff>
      <xdr:row>4</xdr:row>
      <xdr:rowOff>167640</xdr:rowOff>
    </xdr:from>
    <xdr:to>
      <xdr:col>10</xdr:col>
      <xdr:colOff>27940</xdr:colOff>
      <xdr:row>25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8506460" y="11963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30</xdr:row>
      <xdr:rowOff>233680</xdr:rowOff>
    </xdr:from>
    <xdr:to>
      <xdr:col>9</xdr:col>
      <xdr:colOff>205740</xdr:colOff>
      <xdr:row>30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V="1">
          <a:off x="640080" y="64820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8</xdr:row>
      <xdr:rowOff>50800</xdr:rowOff>
    </xdr:from>
    <xdr:to>
      <xdr:col>2</xdr:col>
      <xdr:colOff>736600</xdr:colOff>
      <xdr:row>24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2311400" y="1892300"/>
          <a:ext cx="1270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5</xdr:row>
      <xdr:rowOff>152400</xdr:rowOff>
    </xdr:from>
    <xdr:to>
      <xdr:col>9</xdr:col>
      <xdr:colOff>228600</xdr:colOff>
      <xdr:row>5</xdr:row>
      <xdr:rowOff>165100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571500" y="1384300"/>
          <a:ext cx="7315200" cy="12700"/>
        </a:xfrm>
        <a:prstGeom prst="line">
          <a:avLst/>
        </a:prstGeom>
        <a:ln w="2413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88900</xdr:colOff>
      <xdr:row>5</xdr:row>
      <xdr:rowOff>76200</xdr:rowOff>
    </xdr:from>
    <xdr:to>
      <xdr:col>10</xdr:col>
      <xdr:colOff>774700</xdr:colOff>
      <xdr:row>5</xdr:row>
      <xdr:rowOff>76201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 flipV="1">
          <a:off x="8572500" y="1308100"/>
          <a:ext cx="685800" cy="1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622300</xdr:colOff>
      <xdr:row>25</xdr:row>
      <xdr:rowOff>63500</xdr:rowOff>
    </xdr:from>
    <xdr:to>
      <xdr:col>9</xdr:col>
      <xdr:colOff>190500</xdr:colOff>
      <xdr:row>25</xdr:row>
      <xdr:rowOff>63500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622300" y="53594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368300</xdr:colOff>
      <xdr:row>25</xdr:row>
      <xdr:rowOff>76200</xdr:rowOff>
    </xdr:from>
    <xdr:to>
      <xdr:col>10</xdr:col>
      <xdr:colOff>495300</xdr:colOff>
      <xdr:row>25</xdr:row>
      <xdr:rowOff>82550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8851900" y="5372100"/>
          <a:ext cx="127000" cy="6350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546100</xdr:colOff>
      <xdr:row>4</xdr:row>
      <xdr:rowOff>101600</xdr:rowOff>
    </xdr:from>
    <xdr:to>
      <xdr:col>9</xdr:col>
      <xdr:colOff>266700</xdr:colOff>
      <xdr:row>4</xdr:row>
      <xdr:rowOff>139700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546100" y="11303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680720</xdr:colOff>
      <xdr:row>6</xdr:row>
      <xdr:rowOff>43180</xdr:rowOff>
    </xdr:from>
    <xdr:to>
      <xdr:col>10</xdr:col>
      <xdr:colOff>685800</xdr:colOff>
      <xdr:row>25</xdr:row>
      <xdr:rowOff>111760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 flipH="1">
          <a:off x="9164320" y="1478280"/>
          <a:ext cx="5080" cy="3929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25</xdr:row>
      <xdr:rowOff>139700</xdr:rowOff>
    </xdr:from>
    <xdr:to>
      <xdr:col>0</xdr:col>
      <xdr:colOff>647700</xdr:colOff>
      <xdr:row>30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/>
      </xdr:nvCxnSpPr>
      <xdr:spPr>
        <a:xfrm>
          <a:off x="647700" y="5435600"/>
          <a:ext cx="0" cy="927100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76200</xdr:colOff>
      <xdr:row>49</xdr:row>
      <xdr:rowOff>12700</xdr:rowOff>
    </xdr:from>
    <xdr:to>
      <xdr:col>8</xdr:col>
      <xdr:colOff>660400</xdr:colOff>
      <xdr:row>62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9753600"/>
          <a:ext cx="3060700" cy="2717800"/>
        </a:xfrm>
        <a:prstGeom prst="rect">
          <a:avLst/>
        </a:prstGeom>
      </xdr:spPr>
    </xdr:pic>
    <xdr:clientData/>
  </xdr:twoCellAnchor>
  <xdr:twoCellAnchor editAs="oneCell">
    <xdr:from>
      <xdr:col>8</xdr:col>
      <xdr:colOff>583648</xdr:colOff>
      <xdr:row>50</xdr:row>
      <xdr:rowOff>25400</xdr:rowOff>
    </xdr:from>
    <xdr:to>
      <xdr:col>11</xdr:col>
      <xdr:colOff>368300</xdr:colOff>
      <xdr:row>58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6248" y="9944100"/>
          <a:ext cx="2261152" cy="1651000"/>
        </a:xfrm>
        <a:prstGeom prst="rect">
          <a:avLst/>
        </a:prstGeom>
      </xdr:spPr>
    </xdr:pic>
    <xdr:clientData/>
  </xdr:twoCellAnchor>
  <xdr:oneCellAnchor>
    <xdr:from>
      <xdr:col>4</xdr:col>
      <xdr:colOff>120038</xdr:colOff>
      <xdr:row>6</xdr:row>
      <xdr:rowOff>1085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0</xdr:col>
      <xdr:colOff>622300</xdr:colOff>
      <xdr:row>0</xdr:row>
      <xdr:rowOff>63500</xdr:rowOff>
    </xdr:from>
    <xdr:to>
      <xdr:col>2</xdr:col>
      <xdr:colOff>440488</xdr:colOff>
      <xdr:row>3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59</xdr:row>
      <xdr:rowOff>25400</xdr:rowOff>
    </xdr:from>
    <xdr:to>
      <xdr:col>11</xdr:col>
      <xdr:colOff>503988</xdr:colOff>
      <xdr:row>63</xdr:row>
      <xdr:rowOff>165100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7400" y="11772900"/>
          <a:ext cx="1405688" cy="952500"/>
        </a:xfrm>
        <a:prstGeom prst="rect">
          <a:avLst/>
        </a:prstGeom>
      </xdr:spPr>
    </xdr:pic>
    <xdr:clientData/>
  </xdr:twoCellAnchor>
  <xdr:oneCellAnchor>
    <xdr:from>
      <xdr:col>2</xdr:col>
      <xdr:colOff>419404</xdr:colOff>
      <xdr:row>26</xdr:row>
      <xdr:rowOff>64585</xdr:rowOff>
    </xdr:from>
    <xdr:ext cx="44698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2006904" y="5576385"/>
          <a:ext cx="44698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Additional Drop From Behind the screen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>
    <xdr:from>
      <xdr:col>10</xdr:col>
      <xdr:colOff>330200</xdr:colOff>
      <xdr:row>6</xdr:row>
      <xdr:rowOff>12700</xdr:rowOff>
    </xdr:from>
    <xdr:to>
      <xdr:col>10</xdr:col>
      <xdr:colOff>342900</xdr:colOff>
      <xdr:row>30</xdr:row>
      <xdr:rowOff>38100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CxnSpPr/>
      </xdr:nvCxnSpPr>
      <xdr:spPr>
        <a:xfrm flipH="1">
          <a:off x="8813800" y="1447800"/>
          <a:ext cx="12700" cy="4914900"/>
        </a:xfrm>
        <a:prstGeom prst="line">
          <a:avLst/>
        </a:prstGeom>
        <a:ln w="38100">
          <a:solidFill>
            <a:schemeClr val="bg2">
              <a:lumMod val="2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6</xdr:row>
      <xdr:rowOff>12700</xdr:rowOff>
    </xdr:from>
    <xdr:to>
      <xdr:col>10</xdr:col>
      <xdr:colOff>203200</xdr:colOff>
      <xdr:row>30</xdr:row>
      <xdr:rowOff>38100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>
        <a:xfrm flipH="1">
          <a:off x="8674100" y="1447800"/>
          <a:ext cx="12700" cy="4914900"/>
        </a:xfrm>
        <a:prstGeom prst="line">
          <a:avLst/>
        </a:prstGeom>
        <a:ln w="12700">
          <a:solidFill>
            <a:schemeClr val="bg2">
              <a:lumMod val="25000"/>
            </a:schemeClr>
          </a:solidFill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6</xdr:row>
      <xdr:rowOff>63500</xdr:rowOff>
    </xdr:from>
    <xdr:to>
      <xdr:col>10</xdr:col>
      <xdr:colOff>215900</xdr:colOff>
      <xdr:row>12</xdr:row>
      <xdr:rowOff>88900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CA32EA8-02A6-C7A7-06B5-BD81775DA7CA}"/>
            </a:ext>
          </a:extLst>
        </xdr:cNvPr>
        <xdr:cNvSpPr/>
      </xdr:nvSpPr>
      <xdr:spPr>
        <a:xfrm>
          <a:off x="1663700" y="2222500"/>
          <a:ext cx="6934200" cy="12954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12700</xdr:colOff>
      <xdr:row>14</xdr:row>
      <xdr:rowOff>63500</xdr:rowOff>
    </xdr:from>
    <xdr:to>
      <xdr:col>10</xdr:col>
      <xdr:colOff>76200</xdr:colOff>
      <xdr:row>14</xdr:row>
      <xdr:rowOff>63500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>
          <a:off x="1727200" y="3873500"/>
          <a:ext cx="6731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6</xdr:row>
      <xdr:rowOff>165100</xdr:rowOff>
    </xdr:from>
    <xdr:to>
      <xdr:col>10</xdr:col>
      <xdr:colOff>88900</xdr:colOff>
      <xdr:row>25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 flipV="1">
          <a:off x="1778000" y="2324100"/>
          <a:ext cx="6692900" cy="3733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6</xdr:row>
      <xdr:rowOff>12700</xdr:rowOff>
    </xdr:from>
    <xdr:to>
      <xdr:col>11</xdr:col>
      <xdr:colOff>558800</xdr:colOff>
      <xdr:row>26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/>
        </xdr:cNvSpPr>
      </xdr:nvSpPr>
      <xdr:spPr bwMode="auto">
        <a:xfrm>
          <a:off x="8610600" y="1092200"/>
          <a:ext cx="203200" cy="39497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86360</xdr:colOff>
      <xdr:row>26</xdr:row>
      <xdr:rowOff>104140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8341360" y="777240"/>
          <a:ext cx="0" cy="3949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889000</xdr:colOff>
      <xdr:row>27</xdr:row>
      <xdr:rowOff>152400</xdr:rowOff>
    </xdr:from>
    <xdr:to>
      <xdr:col>10</xdr:col>
      <xdr:colOff>177800</xdr:colOff>
      <xdr:row>27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V="1">
          <a:off x="889000" y="5245100"/>
          <a:ext cx="904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185420</xdr:colOff>
      <xdr:row>6</xdr:row>
      <xdr:rowOff>139700</xdr:rowOff>
    </xdr:from>
    <xdr:to>
      <xdr:col>4</xdr:col>
      <xdr:colOff>185420</xdr:colOff>
      <xdr:row>25</xdr:row>
      <xdr:rowOff>177800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3550920" y="2298700"/>
          <a:ext cx="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</xdr:colOff>
      <xdr:row>12</xdr:row>
      <xdr:rowOff>127000</xdr:rowOff>
    </xdr:from>
    <xdr:to>
      <xdr:col>8</xdr:col>
      <xdr:colOff>25400</xdr:colOff>
      <xdr:row>25</xdr:row>
      <xdr:rowOff>152400</xdr:rowOff>
    </xdr:to>
    <xdr:cxnSp macro="">
      <xdr:nvCxnSpPr>
        <xdr:cNvPr id="9" name="Straight Arrow Connector 11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flipH="1">
          <a:off x="6748780" y="3556000"/>
          <a:ext cx="7620" cy="2501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762000</xdr:colOff>
      <xdr:row>1</xdr:row>
      <xdr:rowOff>25400</xdr:rowOff>
    </xdr:from>
    <xdr:to>
      <xdr:col>2</xdr:col>
      <xdr:colOff>453188</xdr:colOff>
      <xdr:row>3</xdr:row>
      <xdr:rowOff>88900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15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355600</xdr:colOff>
      <xdr:row>64</xdr:row>
      <xdr:rowOff>190500</xdr:rowOff>
    </xdr:from>
    <xdr:to>
      <xdr:col>11</xdr:col>
      <xdr:colOff>935788</xdr:colOff>
      <xdr:row>69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0" y="11150600"/>
          <a:ext cx="1405688" cy="952500"/>
        </a:xfrm>
        <a:prstGeom prst="rect">
          <a:avLst/>
        </a:prstGeom>
      </xdr:spPr>
    </xdr:pic>
    <xdr:clientData/>
  </xdr:twoCellAnchor>
  <xdr:twoCellAnchor>
    <xdr:from>
      <xdr:col>1</xdr:col>
      <xdr:colOff>635000</xdr:colOff>
      <xdr:row>5</xdr:row>
      <xdr:rowOff>50800</xdr:rowOff>
    </xdr:from>
    <xdr:to>
      <xdr:col>10</xdr:col>
      <xdr:colOff>355600</xdr:colOff>
      <xdr:row>27</xdr:row>
      <xdr:rowOff>50800</xdr:rowOff>
    </xdr:to>
    <xdr:sp macro="" textlink="">
      <xdr:nvSpPr>
        <xdr:cNvPr id="10" name="Frame 9">
          <a:extLst>
            <a:ext uri="{FF2B5EF4-FFF2-40B4-BE49-F238E27FC236}">
              <a16:creationId xmlns:a16="http://schemas.microsoft.com/office/drawing/2014/main" id="{E03F4465-510B-8A41-AE35-5FEE95F6CD1E}"/>
            </a:ext>
          </a:extLst>
        </xdr:cNvPr>
        <xdr:cNvSpPr/>
      </xdr:nvSpPr>
      <xdr:spPr>
        <a:xfrm>
          <a:off x="1460500" y="2019300"/>
          <a:ext cx="7277100" cy="4330700"/>
        </a:xfrm>
        <a:prstGeom prst="frame">
          <a:avLst>
            <a:gd name="adj1" fmla="val 577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787400</xdr:colOff>
      <xdr:row>21</xdr:row>
      <xdr:rowOff>101600</xdr:rowOff>
    </xdr:from>
    <xdr:to>
      <xdr:col>9</xdr:col>
      <xdr:colOff>787400</xdr:colOff>
      <xdr:row>23</xdr:row>
      <xdr:rowOff>127000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554BAA7-3656-E52F-9E24-AB308BE3BCA4}"/>
            </a:ext>
          </a:extLst>
        </xdr:cNvPr>
        <xdr:cNvSpPr/>
      </xdr:nvSpPr>
      <xdr:spPr>
        <a:xfrm>
          <a:off x="1612900" y="4940300"/>
          <a:ext cx="6731000" cy="4826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812800</xdr:colOff>
      <xdr:row>4</xdr:row>
      <xdr:rowOff>139700</xdr:rowOff>
    </xdr:from>
    <xdr:to>
      <xdr:col>10</xdr:col>
      <xdr:colOff>76200</xdr:colOff>
      <xdr:row>7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4094DB0-CA10-F6CC-8B51-52DCD47AB73C}"/>
            </a:ext>
          </a:extLst>
        </xdr:cNvPr>
        <xdr:cNvSpPr/>
      </xdr:nvSpPr>
      <xdr:spPr>
        <a:xfrm>
          <a:off x="1638300" y="1511300"/>
          <a:ext cx="6819900" cy="5842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558800</xdr:colOff>
      <xdr:row>3</xdr:row>
      <xdr:rowOff>139700</xdr:rowOff>
    </xdr:from>
    <xdr:to>
      <xdr:col>10</xdr:col>
      <xdr:colOff>279400</xdr:colOff>
      <xdr:row>24</xdr:row>
      <xdr:rowOff>127000</xdr:rowOff>
    </xdr:to>
    <xdr:sp macro="" textlink="">
      <xdr:nvSpPr>
        <xdr:cNvPr id="17" name="Frame 16">
          <a:extLst>
            <a:ext uri="{FF2B5EF4-FFF2-40B4-BE49-F238E27FC236}">
              <a16:creationId xmlns:a16="http://schemas.microsoft.com/office/drawing/2014/main" id="{29EF7D01-1E85-77FD-A3F2-5DBCB9EF85AB}"/>
            </a:ext>
          </a:extLst>
        </xdr:cNvPr>
        <xdr:cNvSpPr/>
      </xdr:nvSpPr>
      <xdr:spPr>
        <a:xfrm>
          <a:off x="1384300" y="1320800"/>
          <a:ext cx="7277100" cy="4330700"/>
        </a:xfrm>
        <a:prstGeom prst="frame">
          <a:avLst>
            <a:gd name="adj1" fmla="val 577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10160</xdr:colOff>
      <xdr:row>10</xdr:row>
      <xdr:rowOff>66040</xdr:rowOff>
    </xdr:from>
    <xdr:to>
      <xdr:col>9</xdr:col>
      <xdr:colOff>797560</xdr:colOff>
      <xdr:row>10</xdr:row>
      <xdr:rowOff>66040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772160" y="2037080"/>
          <a:ext cx="654812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806452</xdr:colOff>
      <xdr:row>3</xdr:row>
      <xdr:rowOff>190499</xdr:rowOff>
    </xdr:from>
    <xdr:to>
      <xdr:col>9</xdr:col>
      <xdr:colOff>800100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/>
        </xdr:cNvSpPr>
      </xdr:nvSpPr>
      <xdr:spPr bwMode="auto">
        <a:xfrm>
          <a:off x="1631952" y="1371599"/>
          <a:ext cx="6724648" cy="4165601"/>
        </a:xfrm>
        <a:prstGeom prst="rect">
          <a:avLst/>
        </a:prstGeom>
        <a:noFill/>
        <a:ln w="120650" cmpd="sng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25400</xdr:colOff>
      <xdr:row>5</xdr:row>
      <xdr:rowOff>38100</xdr:rowOff>
    </xdr:from>
    <xdr:to>
      <xdr:col>9</xdr:col>
      <xdr:colOff>711200</xdr:colOff>
      <xdr:row>23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 flipV="1">
          <a:off x="1752600" y="1600200"/>
          <a:ext cx="6515100" cy="3810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215900</xdr:colOff>
      <xdr:row>4</xdr:row>
      <xdr:rowOff>12700</xdr:rowOff>
    </xdr:from>
    <xdr:to>
      <xdr:col>11</xdr:col>
      <xdr:colOff>520700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/>
        </xdr:cNvSpPr>
      </xdr:nvSpPr>
      <xdr:spPr bwMode="auto">
        <a:xfrm>
          <a:off x="9423400" y="1384300"/>
          <a:ext cx="304800" cy="41656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3</xdr:row>
      <xdr:rowOff>154940</xdr:rowOff>
    </xdr:from>
    <xdr:to>
      <xdr:col>11</xdr:col>
      <xdr:colOff>22860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CxnSpPr/>
      </xdr:nvCxnSpPr>
      <xdr:spPr>
        <a:xfrm>
          <a:off x="9230360" y="1336040"/>
          <a:ext cx="0" cy="4292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596900</xdr:colOff>
      <xdr:row>25</xdr:row>
      <xdr:rowOff>177800</xdr:rowOff>
    </xdr:from>
    <xdr:to>
      <xdr:col>10</xdr:col>
      <xdr:colOff>304800</xdr:colOff>
      <xdr:row>25</xdr:row>
      <xdr:rowOff>177800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CxnSpPr/>
      </xdr:nvCxnSpPr>
      <xdr:spPr>
        <a:xfrm>
          <a:off x="1422400" y="5930900"/>
          <a:ext cx="72644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121920</xdr:colOff>
      <xdr:row>4</xdr:row>
      <xdr:rowOff>165100</xdr:rowOff>
    </xdr:from>
    <xdr:to>
      <xdr:col>4</xdr:col>
      <xdr:colOff>139700</xdr:colOff>
      <xdr:row>23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CxnSpPr/>
      </xdr:nvCxnSpPr>
      <xdr:spPr>
        <a:xfrm>
          <a:off x="3500120" y="1536700"/>
          <a:ext cx="17780" cy="387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</xdr:colOff>
      <xdr:row>8</xdr:row>
      <xdr:rowOff>50800</xdr:rowOff>
    </xdr:from>
    <xdr:to>
      <xdr:col>9</xdr:col>
      <xdr:colOff>38100</xdr:colOff>
      <xdr:row>21</xdr:row>
      <xdr:rowOff>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CxnSpPr/>
      </xdr:nvCxnSpPr>
      <xdr:spPr>
        <a:xfrm flipH="1">
          <a:off x="7586980" y="2184400"/>
          <a:ext cx="762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63500</xdr:rowOff>
    </xdr:from>
    <xdr:to>
      <xdr:col>3</xdr:col>
      <xdr:colOff>402388</xdr:colOff>
      <xdr:row>3</xdr:row>
      <xdr:rowOff>25400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62</xdr:row>
      <xdr:rowOff>63500</xdr:rowOff>
    </xdr:from>
    <xdr:to>
      <xdr:col>11</xdr:col>
      <xdr:colOff>605588</xdr:colOff>
      <xdr:row>66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7400" y="14655800"/>
          <a:ext cx="1405688" cy="889000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25</xdr:row>
      <xdr:rowOff>139700</xdr:rowOff>
    </xdr:from>
    <xdr:to>
      <xdr:col>11</xdr:col>
      <xdr:colOff>558800</xdr:colOff>
      <xdr:row>25</xdr:row>
      <xdr:rowOff>139700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83A1251-7993-05D2-B3F2-5AE605B47887}"/>
            </a:ext>
          </a:extLst>
        </xdr:cNvPr>
        <xdr:cNvCxnSpPr/>
      </xdr:nvCxnSpPr>
      <xdr:spPr>
        <a:xfrm>
          <a:off x="9398000" y="5892800"/>
          <a:ext cx="368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7</xdr:row>
      <xdr:rowOff>114300</xdr:rowOff>
    </xdr:from>
    <xdr:to>
      <xdr:col>9</xdr:col>
      <xdr:colOff>774700</xdr:colOff>
      <xdr:row>8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2957CED-368E-CC74-F23A-90D8D44AA920}"/>
            </a:ext>
          </a:extLst>
        </xdr:cNvPr>
        <xdr:cNvSpPr/>
      </xdr:nvSpPr>
      <xdr:spPr>
        <a:xfrm>
          <a:off x="1701800" y="2057400"/>
          <a:ext cx="6629400" cy="101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863600</xdr:colOff>
      <xdr:row>21</xdr:row>
      <xdr:rowOff>12700</xdr:rowOff>
    </xdr:from>
    <xdr:to>
      <xdr:col>9</xdr:col>
      <xdr:colOff>812800</xdr:colOff>
      <xdr:row>21</xdr:row>
      <xdr:rowOff>139700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5170717-E7FE-30DA-CC8C-2FE3FFC9547E}"/>
            </a:ext>
          </a:extLst>
        </xdr:cNvPr>
        <xdr:cNvSpPr/>
      </xdr:nvSpPr>
      <xdr:spPr>
        <a:xfrm>
          <a:off x="1689100" y="4851400"/>
          <a:ext cx="6680200" cy="1270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78926</xdr:colOff>
      <xdr:row>4</xdr:row>
      <xdr:rowOff>10565</xdr:rowOff>
    </xdr:from>
    <xdr:to>
      <xdr:col>4</xdr:col>
      <xdr:colOff>21526</xdr:colOff>
      <xdr:row>16</xdr:row>
      <xdr:rowOff>84861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1B2A0FD-10A8-5AAA-96B1-98519F11EF96}"/>
            </a:ext>
          </a:extLst>
        </xdr:cNvPr>
        <xdr:cNvSpPr/>
      </xdr:nvSpPr>
      <xdr:spPr>
        <a:xfrm>
          <a:off x="1337381" y="1996383"/>
          <a:ext cx="1605145" cy="2614296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28701</xdr:colOff>
      <xdr:row>3</xdr:row>
      <xdr:rowOff>195293</xdr:rowOff>
    </xdr:from>
    <xdr:to>
      <xdr:col>9</xdr:col>
      <xdr:colOff>695989</xdr:colOff>
      <xdr:row>16</xdr:row>
      <xdr:rowOff>94842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D39B6DD-528B-F160-79C7-B5444ADCCD7F}"/>
            </a:ext>
          </a:extLst>
        </xdr:cNvPr>
        <xdr:cNvSpPr/>
      </xdr:nvSpPr>
      <xdr:spPr>
        <a:xfrm>
          <a:off x="6274792" y="1984838"/>
          <a:ext cx="1498561" cy="2635822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12700</xdr:colOff>
      <xdr:row>3</xdr:row>
      <xdr:rowOff>50800</xdr:rowOff>
    </xdr:from>
    <xdr:to>
      <xdr:col>8</xdr:col>
      <xdr:colOff>12700</xdr:colOff>
      <xdr:row>16</xdr:row>
      <xdr:rowOff>114300</xdr:rowOff>
    </xdr:to>
    <xdr:cxnSp macro="">
      <xdr:nvCxnSpPr>
        <xdr:cNvPr id="19" name="Straight Connector 13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CxnSpPr/>
      </xdr:nvCxnSpPr>
      <xdr:spPr>
        <a:xfrm>
          <a:off x="5727700" y="1244600"/>
          <a:ext cx="0" cy="27051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170366</xdr:colOff>
      <xdr:row>4</xdr:row>
      <xdr:rowOff>57401</xdr:rowOff>
    </xdr:from>
    <xdr:to>
      <xdr:col>9</xdr:col>
      <xdr:colOff>638588</xdr:colOff>
      <xdr:row>15</xdr:row>
      <xdr:rowOff>154878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 flipV="1">
          <a:off x="1426016" y="2030565"/>
          <a:ext cx="6244210" cy="2415047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152401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81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711200</xdr:colOff>
      <xdr:row>17</xdr:row>
      <xdr:rowOff>152400</xdr:rowOff>
    </xdr:from>
    <xdr:to>
      <xdr:col>10</xdr:col>
      <xdr:colOff>127000</xdr:colOff>
      <xdr:row>17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 flipV="1">
          <a:off x="711200" y="4191000"/>
          <a:ext cx="67818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117865</xdr:colOff>
      <xdr:row>2</xdr:row>
      <xdr:rowOff>123902</xdr:rowOff>
    </xdr:from>
    <xdr:to>
      <xdr:col>9</xdr:col>
      <xdr:colOff>675426</xdr:colOff>
      <xdr:row>2</xdr:row>
      <xdr:rowOff>123902</xdr:rowOff>
    </xdr:to>
    <xdr:cxnSp macro="">
      <xdr:nvCxnSpPr>
        <xdr:cNvPr id="10" name="Straight Arrow Connector 15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CxnSpPr/>
      </xdr:nvCxnSpPr>
      <xdr:spPr>
        <a:xfrm>
          <a:off x="1373515" y="1573281"/>
          <a:ext cx="6333549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165101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940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35560</xdr:colOff>
      <xdr:row>13</xdr:row>
      <xdr:rowOff>177800</xdr:rowOff>
    </xdr:from>
    <xdr:to>
      <xdr:col>7</xdr:col>
      <xdr:colOff>787400</xdr:colOff>
      <xdr:row>13</xdr:row>
      <xdr:rowOff>198120</xdr:rowOff>
    </xdr:to>
    <xdr:cxnSp macro="">
      <xdr:nvCxnSpPr>
        <xdr:cNvPr id="14" name="Straight Arrow Connector 8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CxnSpPr/>
      </xdr:nvCxnSpPr>
      <xdr:spPr>
        <a:xfrm flipV="1">
          <a:off x="2448560" y="3403600"/>
          <a:ext cx="3228340" cy="2032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2</xdr:row>
      <xdr:rowOff>685800</xdr:rowOff>
    </xdr:from>
    <xdr:to>
      <xdr:col>12</xdr:col>
      <xdr:colOff>177800</xdr:colOff>
      <xdr:row>17</xdr:row>
      <xdr:rowOff>0</xdr:rowOff>
    </xdr:to>
    <xdr:cxnSp macro="">
      <xdr:nvCxnSpPr>
        <xdr:cNvPr id="15" name="Straight Arrow Connector 12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 flipH="1">
          <a:off x="8813800" y="2133600"/>
          <a:ext cx="25400" cy="2692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825141</xdr:colOff>
      <xdr:row>4</xdr:row>
      <xdr:rowOff>50226</xdr:rowOff>
    </xdr:from>
    <xdr:to>
      <xdr:col>4</xdr:col>
      <xdr:colOff>825141</xdr:colOff>
      <xdr:row>15</xdr:row>
      <xdr:rowOff>139390</xdr:rowOff>
    </xdr:to>
    <xdr:cxnSp macro="">
      <xdr:nvCxnSpPr>
        <xdr:cNvPr id="17" name="Straight Arrow Connector 1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CxnSpPr/>
      </xdr:nvCxnSpPr>
      <xdr:spPr>
        <a:xfrm>
          <a:off x="3731073" y="2023390"/>
          <a:ext cx="0" cy="2406734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812800</xdr:colOff>
      <xdr:row>3</xdr:row>
      <xdr:rowOff>38671</xdr:rowOff>
    </xdr:from>
    <xdr:to>
      <xdr:col>4</xdr:col>
      <xdr:colOff>25400</xdr:colOff>
      <xdr:row>17</xdr:row>
      <xdr:rowOff>27009</xdr:rowOff>
    </xdr:to>
    <xdr:cxnSp macro="">
      <xdr:nvCxnSpPr>
        <xdr:cNvPr id="18" name="Straight Connector 3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CxnSpPr/>
      </xdr:nvCxnSpPr>
      <xdr:spPr>
        <a:xfrm>
          <a:off x="2897074" y="1818011"/>
          <a:ext cx="36928" cy="285337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0</xdr:row>
      <xdr:rowOff>50800</xdr:rowOff>
    </xdr:from>
    <xdr:to>
      <xdr:col>2</xdr:col>
      <xdr:colOff>681788</xdr:colOff>
      <xdr:row>1</xdr:row>
      <xdr:rowOff>508000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58</xdr:row>
      <xdr:rowOff>109103</xdr:rowOff>
    </xdr:from>
    <xdr:to>
      <xdr:col>12</xdr:col>
      <xdr:colOff>723063</xdr:colOff>
      <xdr:row>63</xdr:row>
      <xdr:rowOff>45604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5077" y="12751376"/>
          <a:ext cx="1403668" cy="874569"/>
        </a:xfrm>
        <a:prstGeom prst="rect">
          <a:avLst/>
        </a:prstGeom>
      </xdr:spPr>
    </xdr:pic>
    <xdr:clientData/>
  </xdr:twoCellAnchor>
  <xdr:twoCellAnchor>
    <xdr:from>
      <xdr:col>1</xdr:col>
      <xdr:colOff>769116</xdr:colOff>
      <xdr:row>2</xdr:row>
      <xdr:rowOff>317136</xdr:rowOff>
    </xdr:from>
    <xdr:to>
      <xdr:col>10</xdr:col>
      <xdr:colOff>51898</xdr:colOff>
      <xdr:row>17</xdr:row>
      <xdr:rowOff>26299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9CB120AA-6BF0-ACDC-740A-CD522D8A041C}"/>
            </a:ext>
          </a:extLst>
        </xdr:cNvPr>
        <xdr:cNvSpPr/>
      </xdr:nvSpPr>
      <xdr:spPr>
        <a:xfrm>
          <a:off x="1151121" y="1764735"/>
          <a:ext cx="6755342" cy="2905944"/>
        </a:xfrm>
        <a:prstGeom prst="frame">
          <a:avLst>
            <a:gd name="adj1" fmla="val 8129"/>
          </a:avLst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342900</xdr:rowOff>
    </xdr:from>
    <xdr:to>
      <xdr:col>10</xdr:col>
      <xdr:colOff>88900</xdr:colOff>
      <xdr:row>19</xdr:row>
      <xdr:rowOff>101600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E22EA2D-CEA0-3997-5EE2-5CBC3E4CAC8D}"/>
            </a:ext>
          </a:extLst>
        </xdr:cNvPr>
        <xdr:cNvSpPr/>
      </xdr:nvSpPr>
      <xdr:spPr>
        <a:xfrm>
          <a:off x="6794500" y="4140200"/>
          <a:ext cx="1701800" cy="125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25400</xdr:colOff>
      <xdr:row>14</xdr:row>
      <xdr:rowOff>304800</xdr:rowOff>
    </xdr:from>
    <xdr:to>
      <xdr:col>4</xdr:col>
      <xdr:colOff>12700</xdr:colOff>
      <xdr:row>19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B6075B6-3E5E-BCFC-8466-BBEAFEEED8C0}"/>
            </a:ext>
          </a:extLst>
        </xdr:cNvPr>
        <xdr:cNvSpPr/>
      </xdr:nvSpPr>
      <xdr:spPr>
        <a:xfrm>
          <a:off x="1828800" y="4102100"/>
          <a:ext cx="1638300" cy="1384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965200</xdr:colOff>
      <xdr:row>6</xdr:row>
      <xdr:rowOff>156359</xdr:rowOff>
    </xdr:from>
    <xdr:to>
      <xdr:col>10</xdr:col>
      <xdr:colOff>76200</xdr:colOff>
      <xdr:row>14</xdr:row>
      <xdr:rowOff>368300</xdr:rowOff>
    </xdr:to>
    <xdr:pic>
      <xdr:nvPicPr>
        <xdr:cNvPr id="70" name="Picture 69" descr="File:New Jersey Sunset.jpg - Wikimedia Commons">
          <a:extLst>
            <a:ext uri="{FF2B5EF4-FFF2-40B4-BE49-F238E27FC236}">
              <a16:creationId xmlns:a16="http://schemas.microsoft.com/office/drawing/2014/main" id="{00000000-0008-0000-14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837473B0-CC2E-450A-ABE3-18F120FF3D39}">
              <a1611:picAttrSrcUrl xmlns:a1611="http://schemas.microsoft.com/office/drawing/2016/11/main" r:id="rId2"/>
            </a:ext>
          </a:extLst>
        </a:blip>
        <a:srcRect l="7484" r="13622" b="30997"/>
        <a:stretch/>
      </xdr:blipFill>
      <xdr:spPr>
        <a:xfrm>
          <a:off x="1790700" y="2315359"/>
          <a:ext cx="6692900" cy="1850241"/>
        </a:xfrm>
        <a:prstGeom prst="rect">
          <a:avLst/>
        </a:prstGeom>
      </xdr:spPr>
    </xdr:pic>
    <xdr:clientData/>
  </xdr:twoCellAnchor>
  <xdr:twoCellAnchor>
    <xdr:from>
      <xdr:col>8</xdr:col>
      <xdr:colOff>20064</xdr:colOff>
      <xdr:row>14</xdr:row>
      <xdr:rowOff>330200</xdr:rowOff>
    </xdr:from>
    <xdr:to>
      <xdr:col>8</xdr:col>
      <xdr:colOff>25400</xdr:colOff>
      <xdr:row>19</xdr:row>
      <xdr:rowOff>101600</xdr:rowOff>
    </xdr:to>
    <xdr:cxnSp macro="">
      <xdr:nvCxnSpPr>
        <xdr:cNvPr id="2" name="Straight Connector 1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6560564" y="4127500"/>
          <a:ext cx="5336" cy="1270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190498</xdr:rowOff>
    </xdr:from>
    <xdr:to>
      <xdr:col>10</xdr:col>
      <xdr:colOff>75576</xdr:colOff>
      <xdr:row>19</xdr:row>
      <xdr:rowOff>177799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1587500" y="2349498"/>
          <a:ext cx="6679576" cy="3365501"/>
        </a:xfrm>
        <a:prstGeom prst="rect">
          <a:avLst/>
        </a:prstGeom>
        <a:noFill/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139700</xdr:colOff>
      <xdr:row>7</xdr:row>
      <xdr:rowOff>152400</xdr:rowOff>
    </xdr:from>
    <xdr:to>
      <xdr:col>9</xdr:col>
      <xdr:colOff>749300</xdr:colOff>
      <xdr:row>19</xdr:row>
      <xdr:rowOff>12700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 flipV="1">
          <a:off x="901700" y="1346200"/>
          <a:ext cx="6388100" cy="2501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20</xdr:row>
      <xdr:rowOff>165100</xdr:rowOff>
    </xdr:from>
    <xdr:to>
      <xdr:col>10</xdr:col>
      <xdr:colOff>203200</xdr:colOff>
      <xdr:row>20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>
          <a:off x="1701800" y="5689600"/>
          <a:ext cx="6908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5</xdr:row>
      <xdr:rowOff>292100</xdr:rowOff>
    </xdr:from>
    <xdr:to>
      <xdr:col>9</xdr:col>
      <xdr:colOff>812800</xdr:colOff>
      <xdr:row>5</xdr:row>
      <xdr:rowOff>304800</xdr:rowOff>
    </xdr:to>
    <xdr:cxnSp macro="">
      <xdr:nvCxnSpPr>
        <xdr:cNvPr id="8" name="Straight Arrow Connector 15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CxnSpPr/>
      </xdr:nvCxnSpPr>
      <xdr:spPr>
        <a:xfrm flipV="1">
          <a:off x="1892300" y="2019300"/>
          <a:ext cx="650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419100</xdr:colOff>
      <xdr:row>7</xdr:row>
      <xdr:rowOff>12700</xdr:rowOff>
    </xdr:from>
    <xdr:to>
      <xdr:col>11</xdr:col>
      <xdr:colOff>558800</xdr:colOff>
      <xdr:row>19</xdr:row>
      <xdr:rowOff>215900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/>
        </xdr:cNvSpPr>
      </xdr:nvSpPr>
      <xdr:spPr bwMode="auto">
        <a:xfrm>
          <a:off x="9436100" y="2336800"/>
          <a:ext cx="139700" cy="3225800"/>
        </a:xfrm>
        <a:prstGeom prst="rect">
          <a:avLst/>
        </a:prstGeom>
        <a:solidFill>
          <a:schemeClr val="tx1"/>
        </a:solidFill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48260</xdr:colOff>
      <xdr:row>17</xdr:row>
      <xdr:rowOff>177800</xdr:rowOff>
    </xdr:from>
    <xdr:to>
      <xdr:col>7</xdr:col>
      <xdr:colOff>800100</xdr:colOff>
      <xdr:row>17</xdr:row>
      <xdr:rowOff>198120</xdr:rowOff>
    </xdr:to>
    <xdr:cxnSp macro="">
      <xdr:nvCxnSpPr>
        <xdr:cNvPr id="10" name="Straight Arrow Connector 8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CxnSpPr/>
      </xdr:nvCxnSpPr>
      <xdr:spPr>
        <a:xfrm flipV="1">
          <a:off x="2461260" y="3517900"/>
          <a:ext cx="322834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</xdr:colOff>
      <xdr:row>6</xdr:row>
      <xdr:rowOff>154940</xdr:rowOff>
    </xdr:from>
    <xdr:to>
      <xdr:col>11</xdr:col>
      <xdr:colOff>38100</xdr:colOff>
      <xdr:row>20</xdr:row>
      <xdr:rowOff>38100</xdr:rowOff>
    </xdr:to>
    <xdr:cxnSp macro="">
      <xdr:nvCxnSpPr>
        <xdr:cNvPr id="11" name="Straight Arrow Connector 12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CxnSpPr/>
      </xdr:nvCxnSpPr>
      <xdr:spPr>
        <a:xfrm>
          <a:off x="9268460" y="2313940"/>
          <a:ext cx="2540" cy="3248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7</xdr:row>
      <xdr:rowOff>139700</xdr:rowOff>
    </xdr:from>
    <xdr:to>
      <xdr:col>1</xdr:col>
      <xdr:colOff>749300</xdr:colOff>
      <xdr:row>19</xdr:row>
      <xdr:rowOff>88900</xdr:rowOff>
    </xdr:to>
    <xdr:cxnSp macro="">
      <xdr:nvCxnSpPr>
        <xdr:cNvPr id="12" name="Straight Arrow Connector 17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CxnSpPr/>
      </xdr:nvCxnSpPr>
      <xdr:spPr>
        <a:xfrm>
          <a:off x="1549400" y="2463800"/>
          <a:ext cx="25400" cy="2921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</xdr:colOff>
      <xdr:row>14</xdr:row>
      <xdr:rowOff>330200</xdr:rowOff>
    </xdr:from>
    <xdr:to>
      <xdr:col>4</xdr:col>
      <xdr:colOff>25400</xdr:colOff>
      <xdr:row>19</xdr:row>
      <xdr:rowOff>203200</xdr:rowOff>
    </xdr:to>
    <xdr:cxnSp macro="">
      <xdr:nvCxnSpPr>
        <xdr:cNvPr id="13" name="Straight Connector 3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>
          <a:off x="3461924" y="4127500"/>
          <a:ext cx="17876" cy="13716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165100</xdr:rowOff>
    </xdr:from>
    <xdr:to>
      <xdr:col>3</xdr:col>
      <xdr:colOff>313488</xdr:colOff>
      <xdr:row>4</xdr:row>
      <xdr:rowOff>12700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200" y="165100"/>
          <a:ext cx="1405688" cy="952500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164</xdr:row>
      <xdr:rowOff>76200</xdr:rowOff>
    </xdr:from>
    <xdr:ext cx="54165500" cy="233205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1400-00003B000000}"/>
            </a:ext>
          </a:extLst>
        </xdr:cNvPr>
        <xdr:cNvSpPr txBox="1"/>
      </xdr:nvSpPr>
      <xdr:spPr>
        <a:xfrm>
          <a:off x="11493500" y="34963100"/>
          <a:ext cx="541655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15</xdr:col>
      <xdr:colOff>0</xdr:colOff>
      <xdr:row>164</xdr:row>
      <xdr:rowOff>76200</xdr:rowOff>
    </xdr:from>
    <xdr:ext cx="54165500" cy="233141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1400-00003E000000}"/>
            </a:ext>
          </a:extLst>
        </xdr:cNvPr>
        <xdr:cNvSpPr txBox="1"/>
      </xdr:nvSpPr>
      <xdr:spPr>
        <a:xfrm>
          <a:off x="11493500" y="34963100"/>
          <a:ext cx="541655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4</xdr:col>
      <xdr:colOff>203200</xdr:colOff>
      <xdr:row>176</xdr:row>
      <xdr:rowOff>89213</xdr:rowOff>
    </xdr:from>
    <xdr:ext cx="52311300" cy="233141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1400-000041000000}"/>
            </a:ext>
          </a:extLst>
        </xdr:cNvPr>
        <xdr:cNvSpPr txBox="1"/>
      </xdr:nvSpPr>
      <xdr:spPr>
        <a:xfrm>
          <a:off x="2616200" y="37414513"/>
          <a:ext cx="523113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8</xdr:col>
      <xdr:colOff>88900</xdr:colOff>
      <xdr:row>272</xdr:row>
      <xdr:rowOff>74609</xdr:rowOff>
    </xdr:from>
    <xdr:ext cx="150914100" cy="233141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1400-000044000000}"/>
            </a:ext>
          </a:extLst>
        </xdr:cNvPr>
        <xdr:cNvSpPr txBox="1"/>
      </xdr:nvSpPr>
      <xdr:spPr>
        <a:xfrm>
          <a:off x="5803900" y="56907109"/>
          <a:ext cx="1509141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6" tooltip="http://commons.wikimedia.org/wiki/File:Coco_Loco_Beach_Pano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3</xdr:col>
      <xdr:colOff>127000</xdr:colOff>
      <xdr:row>211</xdr:row>
      <xdr:rowOff>137648</xdr:rowOff>
    </xdr:from>
    <xdr:ext cx="91071700" cy="24075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1400-000047000000}"/>
            </a:ext>
          </a:extLst>
        </xdr:cNvPr>
        <xdr:cNvSpPr txBox="1"/>
      </xdr:nvSpPr>
      <xdr:spPr>
        <a:xfrm>
          <a:off x="1714500" y="44574948"/>
          <a:ext cx="91071700" cy="24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2" tooltip="http://commons.wikimedia.org/wiki/File:New_Jersey_Sunset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twoCellAnchor editAs="oneCell">
    <xdr:from>
      <xdr:col>9</xdr:col>
      <xdr:colOff>419100</xdr:colOff>
      <xdr:row>57</xdr:row>
      <xdr:rowOff>0</xdr:rowOff>
    </xdr:from>
    <xdr:to>
      <xdr:col>10</xdr:col>
      <xdr:colOff>25400</xdr:colOff>
      <xdr:row>58</xdr:row>
      <xdr:rowOff>193740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1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9600" y="12269237"/>
          <a:ext cx="431800" cy="46044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65</xdr:row>
      <xdr:rowOff>38100</xdr:rowOff>
    </xdr:from>
    <xdr:to>
      <xdr:col>11</xdr:col>
      <xdr:colOff>503988</xdr:colOff>
      <xdr:row>69</xdr:row>
      <xdr:rowOff>25400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800" y="14566900"/>
          <a:ext cx="1405688" cy="952500"/>
        </a:xfrm>
        <a:prstGeom prst="rect">
          <a:avLst/>
        </a:prstGeom>
      </xdr:spPr>
    </xdr:pic>
    <xdr:clientData/>
  </xdr:twoCellAnchor>
  <xdr:twoCellAnchor>
    <xdr:from>
      <xdr:col>1</xdr:col>
      <xdr:colOff>965200</xdr:colOff>
      <xdr:row>14</xdr:row>
      <xdr:rowOff>330200</xdr:rowOff>
    </xdr:from>
    <xdr:to>
      <xdr:col>10</xdr:col>
      <xdr:colOff>12700</xdr:colOff>
      <xdr:row>15</xdr:row>
      <xdr:rowOff>12700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5747CB-559D-7B63-97CE-D6A0F1953953}"/>
            </a:ext>
          </a:extLst>
        </xdr:cNvPr>
        <xdr:cNvSpPr/>
      </xdr:nvSpPr>
      <xdr:spPr>
        <a:xfrm>
          <a:off x="1790700" y="4127500"/>
          <a:ext cx="6629400" cy="889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11140</xdr:colOff>
      <xdr:row>4</xdr:row>
      <xdr:rowOff>501316</xdr:rowOff>
    </xdr:from>
    <xdr:to>
      <xdr:col>10</xdr:col>
      <xdr:colOff>0</xdr:colOff>
      <xdr:row>19</xdr:row>
      <xdr:rowOff>77982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56F08DC-2D08-77E5-E688-165830EFD302}"/>
            </a:ext>
          </a:extLst>
        </xdr:cNvPr>
        <xdr:cNvSpPr/>
      </xdr:nvSpPr>
      <xdr:spPr>
        <a:xfrm>
          <a:off x="1593070" y="2228070"/>
          <a:ext cx="6606228" cy="2918772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41540</xdr:colOff>
      <xdr:row>4</xdr:row>
      <xdr:rowOff>286469</xdr:rowOff>
    </xdr:from>
    <xdr:to>
      <xdr:col>10</xdr:col>
      <xdr:colOff>3440</xdr:colOff>
      <xdr:row>4</xdr:row>
      <xdr:rowOff>286469</xdr:rowOff>
    </xdr:to>
    <xdr:cxnSp macro="">
      <xdr:nvCxnSpPr>
        <xdr:cNvPr id="2" name="Straight Arrow Connector 1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800852" y="1818532"/>
          <a:ext cx="660084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470370</xdr:rowOff>
    </xdr:from>
    <xdr:to>
      <xdr:col>10</xdr:col>
      <xdr:colOff>38100</xdr:colOff>
      <xdr:row>19</xdr:row>
      <xdr:rowOff>152399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759312" y="2002433"/>
          <a:ext cx="6677042" cy="280663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355600</xdr:colOff>
      <xdr:row>5</xdr:row>
      <xdr:rowOff>127001</xdr:rowOff>
    </xdr:from>
    <xdr:to>
      <xdr:col>11</xdr:col>
      <xdr:colOff>571500</xdr:colOff>
      <xdr:row>19</xdr:row>
      <xdr:rowOff>88901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/>
        </xdr:cNvSpPr>
      </xdr:nvSpPr>
      <xdr:spPr bwMode="auto">
        <a:xfrm>
          <a:off x="8572500" y="2159001"/>
          <a:ext cx="215900" cy="26035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91440</xdr:rowOff>
    </xdr:from>
    <xdr:to>
      <xdr:col>11</xdr:col>
      <xdr:colOff>88900</xdr:colOff>
      <xdr:row>19</xdr:row>
      <xdr:rowOff>152400</xdr:rowOff>
    </xdr:to>
    <xdr:cxnSp macro="">
      <xdr:nvCxnSpPr>
        <xdr:cNvPr id="7" name="Straight Arrow Connector 12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>
          <a:off x="8277860" y="1107440"/>
          <a:ext cx="2540" cy="27279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20</xdr:row>
      <xdr:rowOff>127000</xdr:rowOff>
    </xdr:from>
    <xdr:to>
      <xdr:col>10</xdr:col>
      <xdr:colOff>139700</xdr:colOff>
      <xdr:row>20</xdr:row>
      <xdr:rowOff>139700</xdr:rowOff>
    </xdr:to>
    <xdr:cxnSp macro="">
      <xdr:nvCxnSpPr>
        <xdr:cNvPr id="8" name="Straight Arrow Connector 14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CxnSpPr/>
      </xdr:nvCxnSpPr>
      <xdr:spPr>
        <a:xfrm flipV="1">
          <a:off x="723900" y="4191000"/>
          <a:ext cx="67818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558800</xdr:colOff>
      <xdr:row>5</xdr:row>
      <xdr:rowOff>63500</xdr:rowOff>
    </xdr:from>
    <xdr:to>
      <xdr:col>1</xdr:col>
      <xdr:colOff>558800</xdr:colOff>
      <xdr:row>19</xdr:row>
      <xdr:rowOff>76200</xdr:rowOff>
    </xdr:to>
    <xdr:cxnSp macro="">
      <xdr:nvCxnSpPr>
        <xdr:cNvPr id="9" name="Straight Arrow Connector 17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CxnSpPr/>
      </xdr:nvCxnSpPr>
      <xdr:spPr>
        <a:xfrm>
          <a:off x="558800" y="2095500"/>
          <a:ext cx="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32489</xdr:colOff>
      <xdr:row>4</xdr:row>
      <xdr:rowOff>470370</xdr:rowOff>
    </xdr:from>
    <xdr:to>
      <xdr:col>6</xdr:col>
      <xdr:colOff>32489</xdr:colOff>
      <xdr:row>19</xdr:row>
      <xdr:rowOff>152399</xdr:rowOff>
    </xdr:to>
    <xdr:cxnSp macro="">
      <xdr:nvCxnSpPr>
        <xdr:cNvPr id="10" name="Straight Connector 3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>
          <a:stCxn id="3" idx="0"/>
          <a:endCxn id="3" idx="2"/>
        </xdr:cNvCxnSpPr>
      </xdr:nvCxnSpPr>
      <xdr:spPr>
        <a:xfrm>
          <a:off x="4097833" y="2002433"/>
          <a:ext cx="0" cy="2806633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50800</xdr:rowOff>
    </xdr:from>
    <xdr:to>
      <xdr:col>3</xdr:col>
      <xdr:colOff>529388</xdr:colOff>
      <xdr:row>2</xdr:row>
      <xdr:rowOff>495300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813915</xdr:colOff>
      <xdr:row>56</xdr:row>
      <xdr:rowOff>50800</xdr:rowOff>
    </xdr:from>
    <xdr:to>
      <xdr:col>11</xdr:col>
      <xdr:colOff>546323</xdr:colOff>
      <xdr:row>61</xdr:row>
      <xdr:rowOff>139699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547" y="13207554"/>
          <a:ext cx="1403460" cy="9021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6720</xdr:rowOff>
    </xdr:from>
    <xdr:to>
      <xdr:col>6</xdr:col>
      <xdr:colOff>67196</xdr:colOff>
      <xdr:row>19</xdr:row>
      <xdr:rowOff>114232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1A0E874-C2E5-2140-29F1-A2DB9962430A}"/>
            </a:ext>
          </a:extLst>
        </xdr:cNvPr>
        <xdr:cNvSpPr/>
      </xdr:nvSpPr>
      <xdr:spPr>
        <a:xfrm>
          <a:off x="4065344" y="2049471"/>
          <a:ext cx="67196" cy="272142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101600</xdr:colOff>
      <xdr:row>5</xdr:row>
      <xdr:rowOff>67196</xdr:rowOff>
    </xdr:from>
    <xdr:to>
      <xdr:col>9</xdr:col>
      <xdr:colOff>799629</xdr:colOff>
      <xdr:row>19</xdr:row>
      <xdr:rowOff>63500</xdr:rowOff>
    </xdr:to>
    <xdr:cxnSp macro="">
      <xdr:nvCxnSpPr>
        <xdr:cNvPr id="4" name="Straight Arrow Connector 6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 flipV="1">
          <a:off x="860912" y="2109947"/>
          <a:ext cx="6483585" cy="26102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69311</xdr:colOff>
      <xdr:row>1</xdr:row>
      <xdr:rowOff>569482</xdr:rowOff>
    </xdr:from>
    <xdr:to>
      <xdr:col>10</xdr:col>
      <xdr:colOff>31211</xdr:colOff>
      <xdr:row>1</xdr:row>
      <xdr:rowOff>569482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30441" y="1052256"/>
          <a:ext cx="6572859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736600</xdr:colOff>
      <xdr:row>3</xdr:row>
      <xdr:rowOff>95685</xdr:rowOff>
    </xdr:from>
    <xdr:to>
      <xdr:col>10</xdr:col>
      <xdr:colOff>75576</xdr:colOff>
      <xdr:row>23</xdr:row>
      <xdr:rowOff>12701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36600" y="1252603"/>
          <a:ext cx="6711065" cy="374441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39336</xdr:colOff>
      <xdr:row>3</xdr:row>
      <xdr:rowOff>165100</xdr:rowOff>
    </xdr:from>
    <xdr:to>
      <xdr:col>9</xdr:col>
      <xdr:colOff>825500</xdr:colOff>
      <xdr:row>22</xdr:row>
      <xdr:rowOff>134868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03584" y="1463197"/>
          <a:ext cx="6568597" cy="359994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81280</xdr:rowOff>
    </xdr:from>
    <xdr:to>
      <xdr:col>11</xdr:col>
      <xdr:colOff>401319</xdr:colOff>
      <xdr:row>23</xdr:row>
      <xdr:rowOff>22478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8554405" y="1379377"/>
          <a:ext cx="45719" cy="3762437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50800</xdr:colOff>
      <xdr:row>3</xdr:row>
      <xdr:rowOff>20320</xdr:rowOff>
    </xdr:from>
    <xdr:to>
      <xdr:col>11</xdr:col>
      <xdr:colOff>78673</xdr:colOff>
      <xdr:row>23</xdr:row>
      <xdr:rowOff>89912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249605" y="1318417"/>
          <a:ext cx="27873" cy="3890831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22300" y="55880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4</xdr:row>
      <xdr:rowOff>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832100" y="1485900"/>
          <a:ext cx="7620" cy="37592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1</xdr:row>
      <xdr:rowOff>457200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27100"/>
        </a:xfrm>
        <a:prstGeom prst="rect">
          <a:avLst/>
        </a:prstGeom>
      </xdr:spPr>
    </xdr:pic>
    <xdr:clientData/>
  </xdr:twoCellAnchor>
  <xdr:twoCellAnchor editAs="oneCell">
    <xdr:from>
      <xdr:col>9</xdr:col>
      <xdr:colOff>241299</xdr:colOff>
      <xdr:row>74</xdr:row>
      <xdr:rowOff>25400</xdr:rowOff>
    </xdr:from>
    <xdr:to>
      <xdr:col>11</xdr:col>
      <xdr:colOff>518100</xdr:colOff>
      <xdr:row>80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9299" y="16637000"/>
          <a:ext cx="1927801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57</xdr:row>
      <xdr:rowOff>57663</xdr:rowOff>
    </xdr:from>
    <xdr:to>
      <xdr:col>6</xdr:col>
      <xdr:colOff>736600</xdr:colOff>
      <xdr:row>80</xdr:row>
      <xdr:rowOff>148729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" y="13430763"/>
          <a:ext cx="4381500" cy="44725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5</xdr:row>
      <xdr:rowOff>0</xdr:rowOff>
    </xdr:from>
    <xdr:to>
      <xdr:col>10</xdr:col>
      <xdr:colOff>114300</xdr:colOff>
      <xdr:row>21</xdr:row>
      <xdr:rowOff>76200</xdr:rowOff>
    </xdr:to>
    <xdr:sp macro="" textlink="">
      <xdr:nvSpPr>
        <xdr:cNvPr id="10" name="Trapezium 9">
          <a:extLst>
            <a:ext uri="{FF2B5EF4-FFF2-40B4-BE49-F238E27FC236}">
              <a16:creationId xmlns:a16="http://schemas.microsoft.com/office/drawing/2014/main" id="{11B4210A-BE8A-C74E-963C-66A22BDD7A73}"/>
            </a:ext>
          </a:extLst>
        </xdr:cNvPr>
        <xdr:cNvSpPr/>
      </xdr:nvSpPr>
      <xdr:spPr>
        <a:xfrm rot="16200000" flipH="1">
          <a:off x="5321300" y="2400300"/>
          <a:ext cx="3263900" cy="3365500"/>
        </a:xfrm>
        <a:prstGeom prst="trapezoid">
          <a:avLst>
            <a:gd name="adj" fmla="val 9556"/>
          </a:avLst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63500</xdr:colOff>
      <xdr:row>5</xdr:row>
      <xdr:rowOff>0</xdr:rowOff>
    </xdr:from>
    <xdr:to>
      <xdr:col>6</xdr:col>
      <xdr:colOff>254000</xdr:colOff>
      <xdr:row>21</xdr:row>
      <xdr:rowOff>101600</xdr:rowOff>
    </xdr:to>
    <xdr:sp macro="" textlink="">
      <xdr:nvSpPr>
        <xdr:cNvPr id="6" name="Trapezium 5">
          <a:extLst>
            <a:ext uri="{FF2B5EF4-FFF2-40B4-BE49-F238E27FC236}">
              <a16:creationId xmlns:a16="http://schemas.microsoft.com/office/drawing/2014/main" id="{CCFB7FD7-EC52-E11A-2F49-C56A98D4C8F1}"/>
            </a:ext>
          </a:extLst>
        </xdr:cNvPr>
        <xdr:cNvSpPr/>
      </xdr:nvSpPr>
      <xdr:spPr>
        <a:xfrm rot="5400000">
          <a:off x="1892300" y="2349500"/>
          <a:ext cx="3289300" cy="3492500"/>
        </a:xfrm>
        <a:prstGeom prst="trapezoid">
          <a:avLst>
            <a:gd name="adj" fmla="val 9556"/>
          </a:avLst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177800</xdr:colOff>
      <xdr:row>6</xdr:row>
      <xdr:rowOff>152400</xdr:rowOff>
    </xdr:from>
    <xdr:to>
      <xdr:col>6</xdr:col>
      <xdr:colOff>317500</xdr:colOff>
      <xdr:row>19</xdr:row>
      <xdr:rowOff>152400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324130D-2254-74C0-B47E-CCA654FD7CA9}"/>
            </a:ext>
          </a:extLst>
        </xdr:cNvPr>
        <xdr:cNvSpPr/>
      </xdr:nvSpPr>
      <xdr:spPr>
        <a:xfrm>
          <a:off x="5067300" y="2717800"/>
          <a:ext cx="139700" cy="2692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876300</xdr:colOff>
      <xdr:row>4</xdr:row>
      <xdr:rowOff>482600</xdr:rowOff>
    </xdr:from>
    <xdr:to>
      <xdr:col>10</xdr:col>
      <xdr:colOff>185420</xdr:colOff>
      <xdr:row>21</xdr:row>
      <xdr:rowOff>127000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413000"/>
          <a:ext cx="7005320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96520</xdr:colOff>
      <xdr:row>4</xdr:row>
      <xdr:rowOff>124460</xdr:rowOff>
    </xdr:from>
    <xdr:to>
      <xdr:col>9</xdr:col>
      <xdr:colOff>800100</xdr:colOff>
      <xdr:row>4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CxnSpPr/>
      </xdr:nvCxnSpPr>
      <xdr:spPr>
        <a:xfrm>
          <a:off x="1684020" y="2054860"/>
          <a:ext cx="6672580" cy="25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165100</xdr:colOff>
      <xdr:row>6</xdr:row>
      <xdr:rowOff>88900</xdr:rowOff>
    </xdr:from>
    <xdr:to>
      <xdr:col>10</xdr:col>
      <xdr:colOff>12700</xdr:colOff>
      <xdr:row>20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 flipV="1">
          <a:off x="1892300" y="2654300"/>
          <a:ext cx="6642100" cy="2971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4</xdr:row>
      <xdr:rowOff>482600</xdr:rowOff>
    </xdr:from>
    <xdr:to>
      <xdr:col>11</xdr:col>
      <xdr:colOff>406400</xdr:colOff>
      <xdr:row>20</xdr:row>
      <xdr:rowOff>127000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/>
        </xdr:cNvSpPr>
      </xdr:nvSpPr>
      <xdr:spPr bwMode="auto">
        <a:xfrm>
          <a:off x="9245600" y="2413000"/>
          <a:ext cx="368300" cy="32131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685800</xdr:colOff>
      <xdr:row>4</xdr:row>
      <xdr:rowOff>457200</xdr:rowOff>
    </xdr:from>
    <xdr:to>
      <xdr:col>10</xdr:col>
      <xdr:colOff>685800</xdr:colOff>
      <xdr:row>21</xdr:row>
      <xdr:rowOff>101600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CxnSpPr/>
      </xdr:nvCxnSpPr>
      <xdr:spPr>
        <a:xfrm>
          <a:off x="9067800" y="2387600"/>
          <a:ext cx="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22</xdr:row>
      <xdr:rowOff>101600</xdr:rowOff>
    </xdr:from>
    <xdr:to>
      <xdr:col>10</xdr:col>
      <xdr:colOff>190500</xdr:colOff>
      <xdr:row>22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CxnSpPr/>
      </xdr:nvCxnSpPr>
      <xdr:spPr>
        <a:xfrm flipV="1">
          <a:off x="1549400" y="5930900"/>
          <a:ext cx="7023100" cy="25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5</xdr:row>
      <xdr:rowOff>101600</xdr:rowOff>
    </xdr:from>
    <xdr:to>
      <xdr:col>1</xdr:col>
      <xdr:colOff>508000</xdr:colOff>
      <xdr:row>20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CxnSpPr/>
      </xdr:nvCxnSpPr>
      <xdr:spPr>
        <a:xfrm>
          <a:off x="1333500" y="2552700"/>
          <a:ext cx="0" cy="2819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402388</xdr:colOff>
      <xdr:row>2</xdr:row>
      <xdr:rowOff>393700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812800</xdr:colOff>
      <xdr:row>66</xdr:row>
      <xdr:rowOff>152400</xdr:rowOff>
    </xdr:from>
    <xdr:to>
      <xdr:col>11</xdr:col>
      <xdr:colOff>567488</xdr:colOff>
      <xdr:row>70</xdr:row>
      <xdr:rowOff>139700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0" y="16776700"/>
          <a:ext cx="1405688" cy="901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21</xdr:row>
      <xdr:rowOff>177800</xdr:rowOff>
    </xdr:from>
    <xdr:to>
      <xdr:col>9</xdr:col>
      <xdr:colOff>38100</xdr:colOff>
      <xdr:row>23</xdr:row>
      <xdr:rowOff>101600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C599863A-4609-8544-8FBC-C70298EDDFB3}"/>
            </a:ext>
          </a:extLst>
        </xdr:cNvPr>
        <xdr:cNvSpPr/>
      </xdr:nvSpPr>
      <xdr:spPr>
        <a:xfrm>
          <a:off x="2476500" y="5410200"/>
          <a:ext cx="5054600" cy="3048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800100</xdr:colOff>
      <xdr:row>6</xdr:row>
      <xdr:rowOff>63500</xdr:rowOff>
    </xdr:from>
    <xdr:to>
      <xdr:col>9</xdr:col>
      <xdr:colOff>76200</xdr:colOff>
      <xdr:row>7</xdr:row>
      <xdr:rowOff>177800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B4720D5D-B88D-5550-5AEF-61C3D66C816C}"/>
            </a:ext>
          </a:extLst>
        </xdr:cNvPr>
        <xdr:cNvSpPr/>
      </xdr:nvSpPr>
      <xdr:spPr>
        <a:xfrm>
          <a:off x="2514600" y="2222500"/>
          <a:ext cx="5054600" cy="3048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101600</xdr:colOff>
      <xdr:row>5</xdr:row>
      <xdr:rowOff>139700</xdr:rowOff>
    </xdr:from>
    <xdr:to>
      <xdr:col>9</xdr:col>
      <xdr:colOff>723900</xdr:colOff>
      <xdr:row>23</xdr:row>
      <xdr:rowOff>139700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1FFBAFF-4E67-7941-9BDE-25D0403831E7}"/>
            </a:ext>
          </a:extLst>
        </xdr:cNvPr>
        <xdr:cNvSpPr/>
      </xdr:nvSpPr>
      <xdr:spPr>
        <a:xfrm>
          <a:off x="7594600" y="2108200"/>
          <a:ext cx="622300" cy="3644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139700</xdr:colOff>
      <xdr:row>6</xdr:row>
      <xdr:rowOff>25400</xdr:rowOff>
    </xdr:from>
    <xdr:to>
      <xdr:col>2</xdr:col>
      <xdr:colOff>762000</xdr:colOff>
      <xdr:row>24</xdr:row>
      <xdr:rowOff>25400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410C8C-2C30-27AF-6891-E854BF552979}"/>
            </a:ext>
          </a:extLst>
        </xdr:cNvPr>
        <xdr:cNvSpPr/>
      </xdr:nvSpPr>
      <xdr:spPr>
        <a:xfrm>
          <a:off x="1854200" y="2184400"/>
          <a:ext cx="622300" cy="3644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48260</xdr:colOff>
      <xdr:row>3</xdr:row>
      <xdr:rowOff>294640</xdr:rowOff>
    </xdr:from>
    <xdr:to>
      <xdr:col>10</xdr:col>
      <xdr:colOff>10160</xdr:colOff>
      <xdr:row>3</xdr:row>
      <xdr:rowOff>294640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1635760" y="145034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793752</xdr:colOff>
      <xdr:row>4</xdr:row>
      <xdr:rowOff>177799</xdr:rowOff>
    </xdr:from>
    <xdr:to>
      <xdr:col>10</xdr:col>
      <xdr:colOff>101600</xdr:colOff>
      <xdr:row>25</xdr:row>
      <xdr:rowOff>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/>
        </xdr:cNvSpPr>
      </xdr:nvSpPr>
      <xdr:spPr bwMode="auto">
        <a:xfrm>
          <a:off x="1619252" y="1955799"/>
          <a:ext cx="6800848" cy="40513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296332</xdr:colOff>
      <xdr:row>5</xdr:row>
      <xdr:rowOff>12700</xdr:rowOff>
    </xdr:from>
    <xdr:to>
      <xdr:col>11</xdr:col>
      <xdr:colOff>495300</xdr:colOff>
      <xdr:row>25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/>
        </xdr:cNvSpPr>
      </xdr:nvSpPr>
      <xdr:spPr bwMode="auto">
        <a:xfrm>
          <a:off x="9313332" y="1981200"/>
          <a:ext cx="198968" cy="40513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154940</xdr:rowOff>
    </xdr:from>
    <xdr:to>
      <xdr:col>11</xdr:col>
      <xdr:colOff>88900</xdr:colOff>
      <xdr:row>25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9103360" y="1932940"/>
          <a:ext cx="2540" cy="41122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901700</xdr:colOff>
      <xdr:row>26</xdr:row>
      <xdr:rowOff>152400</xdr:rowOff>
    </xdr:from>
    <xdr:to>
      <xdr:col>10</xdr:col>
      <xdr:colOff>177800</xdr:colOff>
      <xdr:row>26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CxnSpPr/>
      </xdr:nvCxnSpPr>
      <xdr:spPr>
        <a:xfrm>
          <a:off x="762000" y="5245100"/>
          <a:ext cx="6781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464820</xdr:colOff>
      <xdr:row>5</xdr:row>
      <xdr:rowOff>88900</xdr:rowOff>
    </xdr:from>
    <xdr:to>
      <xdr:col>1</xdr:col>
      <xdr:colOff>464820</xdr:colOff>
      <xdr:row>24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CxnSpPr/>
      </xdr:nvCxnSpPr>
      <xdr:spPr>
        <a:xfrm>
          <a:off x="1290320" y="20574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415088</xdr:colOff>
      <xdr:row>2</xdr:row>
      <xdr:rowOff>520700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54</xdr:row>
      <xdr:rowOff>127000</xdr:rowOff>
    </xdr:from>
    <xdr:to>
      <xdr:col>11</xdr:col>
      <xdr:colOff>630988</xdr:colOff>
      <xdr:row>58</xdr:row>
      <xdr:rowOff>114300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93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5</xdr:row>
      <xdr:rowOff>50800</xdr:rowOff>
    </xdr:from>
    <xdr:to>
      <xdr:col>3</xdr:col>
      <xdr:colOff>0</xdr:colOff>
      <xdr:row>24</xdr:row>
      <xdr:rowOff>127000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BD1513A-2FD4-B3AC-96C7-6FCBA466F277}"/>
            </a:ext>
          </a:extLst>
        </xdr:cNvPr>
        <xdr:cNvSpPr/>
      </xdr:nvSpPr>
      <xdr:spPr>
        <a:xfrm>
          <a:off x="2273300" y="2019300"/>
          <a:ext cx="139700" cy="392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819152</xdr:colOff>
      <xdr:row>5</xdr:row>
      <xdr:rowOff>16932</xdr:rowOff>
    </xdr:from>
    <xdr:to>
      <xdr:col>9</xdr:col>
      <xdr:colOff>152400</xdr:colOff>
      <xdr:row>24</xdr:row>
      <xdr:rowOff>165100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0801ED1-BFCD-0043-AAAF-A48C276CFF4A}"/>
            </a:ext>
          </a:extLst>
        </xdr:cNvPr>
        <xdr:cNvSpPr/>
      </xdr:nvSpPr>
      <xdr:spPr>
        <a:xfrm>
          <a:off x="7359652" y="1985432"/>
          <a:ext cx="158748" cy="399626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812800</xdr:colOff>
      <xdr:row>7</xdr:row>
      <xdr:rowOff>139700</xdr:rowOff>
    </xdr:from>
    <xdr:to>
      <xdr:col>9</xdr:col>
      <xdr:colOff>12700</xdr:colOff>
      <xdr:row>8</xdr:row>
      <xdr:rowOff>114300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69E47709-2C44-D7F5-3678-A29FC01B8A60}"/>
            </a:ext>
          </a:extLst>
        </xdr:cNvPr>
        <xdr:cNvSpPr/>
      </xdr:nvSpPr>
      <xdr:spPr>
        <a:xfrm>
          <a:off x="2527300" y="2489200"/>
          <a:ext cx="4978400" cy="165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774700</xdr:colOff>
      <xdr:row>21</xdr:row>
      <xdr:rowOff>50800</xdr:rowOff>
    </xdr:from>
    <xdr:to>
      <xdr:col>9</xdr:col>
      <xdr:colOff>38100</xdr:colOff>
      <xdr:row>22</xdr:row>
      <xdr:rowOff>38100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4B458C8-5A1A-839B-D295-964C921E6F95}"/>
            </a:ext>
          </a:extLst>
        </xdr:cNvPr>
        <xdr:cNvSpPr/>
      </xdr:nvSpPr>
      <xdr:spPr>
        <a:xfrm>
          <a:off x="2362200" y="5295900"/>
          <a:ext cx="5041900" cy="1778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812800</xdr:colOff>
      <xdr:row>4</xdr:row>
      <xdr:rowOff>177800</xdr:rowOff>
    </xdr:from>
    <xdr:to>
      <xdr:col>10</xdr:col>
      <xdr:colOff>76200</xdr:colOff>
      <xdr:row>6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62F1933-ED6D-C3C7-E9F6-E3399A7B2995}"/>
            </a:ext>
          </a:extLst>
        </xdr:cNvPr>
        <xdr:cNvSpPr/>
      </xdr:nvSpPr>
      <xdr:spPr>
        <a:xfrm>
          <a:off x="1638300" y="1955800"/>
          <a:ext cx="6756400" cy="317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25400</xdr:colOff>
      <xdr:row>23</xdr:row>
      <xdr:rowOff>76200</xdr:rowOff>
    </xdr:from>
    <xdr:to>
      <xdr:col>10</xdr:col>
      <xdr:colOff>63500</xdr:colOff>
      <xdr:row>24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8FB168B-44A0-476A-A79C-18A325FFB1D9}"/>
            </a:ext>
          </a:extLst>
        </xdr:cNvPr>
        <xdr:cNvSpPr/>
      </xdr:nvSpPr>
      <xdr:spPr>
        <a:xfrm>
          <a:off x="1612900" y="5702300"/>
          <a:ext cx="6642100" cy="292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850900</xdr:colOff>
      <xdr:row>5</xdr:row>
      <xdr:rowOff>139700</xdr:rowOff>
    </xdr:from>
    <xdr:to>
      <xdr:col>2</xdr:col>
      <xdr:colOff>266700</xdr:colOff>
      <xdr:row>24</xdr:row>
      <xdr:rowOff>127000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4BFD55D-F86C-8BDB-92DC-2AC20EA1300F}"/>
            </a:ext>
          </a:extLst>
        </xdr:cNvPr>
        <xdr:cNvSpPr/>
      </xdr:nvSpPr>
      <xdr:spPr>
        <a:xfrm>
          <a:off x="1676400" y="2108200"/>
          <a:ext cx="304800" cy="3835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596900</xdr:colOff>
      <xdr:row>6</xdr:row>
      <xdr:rowOff>0</xdr:rowOff>
    </xdr:from>
    <xdr:to>
      <xdr:col>10</xdr:col>
      <xdr:colOff>50800</xdr:colOff>
      <xdr:row>24</xdr:row>
      <xdr:rowOff>127000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993CEF1-B765-1329-54D0-9AC6641FFA55}"/>
            </a:ext>
          </a:extLst>
        </xdr:cNvPr>
        <xdr:cNvSpPr/>
      </xdr:nvSpPr>
      <xdr:spPr>
        <a:xfrm>
          <a:off x="8089900" y="2159000"/>
          <a:ext cx="279400" cy="3784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317500</xdr:colOff>
      <xdr:row>6</xdr:row>
      <xdr:rowOff>177800</xdr:rowOff>
    </xdr:from>
    <xdr:to>
      <xdr:col>9</xdr:col>
      <xdr:colOff>495300</xdr:colOff>
      <xdr:row>23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2032000" y="2336800"/>
          <a:ext cx="5956300" cy="3327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704852</xdr:colOff>
      <xdr:row>2</xdr:row>
      <xdr:rowOff>190499</xdr:rowOff>
    </xdr:from>
    <xdr:to>
      <xdr:col>10</xdr:col>
      <xdr:colOff>75576</xdr:colOff>
      <xdr:row>23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40894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749300</xdr:colOff>
      <xdr:row>3</xdr:row>
      <xdr:rowOff>50800</xdr:rowOff>
    </xdr:from>
    <xdr:to>
      <xdr:col>10</xdr:col>
      <xdr:colOff>63500</xdr:colOff>
      <xdr:row>22</xdr:row>
      <xdr:rowOff>177800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95400" y="1295400"/>
          <a:ext cx="6972300" cy="37465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12700</xdr:rowOff>
    </xdr:from>
    <xdr:to>
      <xdr:col>11</xdr:col>
      <xdr:colOff>401319</xdr:colOff>
      <xdr:row>23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547100" y="838200"/>
          <a:ext cx="45719" cy="40767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114300</xdr:colOff>
      <xdr:row>3</xdr:row>
      <xdr:rowOff>38100</xdr:rowOff>
    </xdr:from>
    <xdr:to>
      <xdr:col>11</xdr:col>
      <xdr:colOff>114300</xdr:colOff>
      <xdr:row>23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305800" y="863600"/>
          <a:ext cx="0" cy="4089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622300" y="52451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3</xdr:row>
      <xdr:rowOff>0</xdr:rowOff>
    </xdr:from>
    <xdr:to>
      <xdr:col>4</xdr:col>
      <xdr:colOff>114300</xdr:colOff>
      <xdr:row>23</xdr:row>
      <xdr:rowOff>25400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365500" y="1244600"/>
          <a:ext cx="0" cy="3835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275388</xdr:colOff>
      <xdr:row>2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660400</xdr:colOff>
      <xdr:row>78</xdr:row>
      <xdr:rowOff>80783</xdr:rowOff>
    </xdr:from>
    <xdr:to>
      <xdr:col>11</xdr:col>
      <xdr:colOff>275388</xdr:colOff>
      <xdr:row>85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14533383"/>
          <a:ext cx="2091488" cy="1341617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63</xdr:row>
      <xdr:rowOff>57150</xdr:rowOff>
    </xdr:from>
    <xdr:to>
      <xdr:col>5</xdr:col>
      <xdr:colOff>203200</xdr:colOff>
      <xdr:row>84</xdr:row>
      <xdr:rowOff>88900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1866900" y="13608050"/>
          <a:ext cx="2413000" cy="4032250"/>
          <a:chOff x="1790700" y="11499850"/>
          <a:chExt cx="2552700" cy="4870450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2" name="Picture 1">
                <a:extLst>
                  <a:ext uri="{FF2B5EF4-FFF2-40B4-BE49-F238E27FC236}">
                    <a16:creationId xmlns:a16="http://schemas.microsoft.com/office/drawing/2014/main" id="{00000000-0008-0000-0200-00000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21" name="Rectangle 20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4" name="Straight Arrow Connecto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4</xdr:row>
      <xdr:rowOff>0</xdr:rowOff>
    </xdr:from>
    <xdr:to>
      <xdr:col>10</xdr:col>
      <xdr:colOff>50800</xdr:colOff>
      <xdr:row>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231900" y="2082800"/>
          <a:ext cx="6794500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190499</xdr:rowOff>
    </xdr:from>
    <xdr:to>
      <xdr:col>10</xdr:col>
      <xdr:colOff>75576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3822701"/>
        </a:xfrm>
        <a:prstGeom prst="rect">
          <a:avLst/>
        </a:prstGeom>
        <a:noFill/>
        <a:ln w="2857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774700</xdr:colOff>
      <xdr:row>5</xdr:row>
      <xdr:rowOff>76200</xdr:rowOff>
    </xdr:from>
    <xdr:to>
      <xdr:col>10</xdr:col>
      <xdr:colOff>38100</xdr:colOff>
      <xdr:row>24</xdr:row>
      <xdr:rowOff>165100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270000" y="2349500"/>
          <a:ext cx="6743700" cy="39243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5</xdr:row>
      <xdr:rowOff>12700</xdr:rowOff>
    </xdr:from>
    <xdr:to>
      <xdr:col>11</xdr:col>
      <xdr:colOff>401319</xdr:colOff>
      <xdr:row>25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solidFill>
          <a:schemeClr val="tx1"/>
        </a:solidFill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24541</xdr:rowOff>
    </xdr:from>
    <xdr:to>
      <xdr:col>11</xdr:col>
      <xdr:colOff>86360</xdr:colOff>
      <xdr:row>25</xdr:row>
      <xdr:rowOff>55217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8915007" y="2300725"/>
          <a:ext cx="0" cy="404927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681014</xdr:colOff>
      <xdr:row>26</xdr:row>
      <xdr:rowOff>165652</xdr:rowOff>
    </xdr:from>
    <xdr:to>
      <xdr:col>10</xdr:col>
      <xdr:colOff>128841</xdr:colOff>
      <xdr:row>26</xdr:row>
      <xdr:rowOff>165652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177971" y="6650628"/>
          <a:ext cx="6951256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5</xdr:row>
      <xdr:rowOff>38100</xdr:rowOff>
    </xdr:from>
    <xdr:to>
      <xdr:col>4</xdr:col>
      <xdr:colOff>101600</xdr:colOff>
      <xdr:row>24</xdr:row>
      <xdr:rowOff>177800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124200" y="2311400"/>
          <a:ext cx="0" cy="39751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12700</xdr:colOff>
      <xdr:row>0</xdr:row>
      <xdr:rowOff>88900</xdr:rowOff>
    </xdr:from>
    <xdr:to>
      <xdr:col>3</xdr:col>
      <xdr:colOff>592888</xdr:colOff>
      <xdr:row>2</xdr:row>
      <xdr:rowOff>4244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88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139700</xdr:colOff>
      <xdr:row>77</xdr:row>
      <xdr:rowOff>152400</xdr:rowOff>
    </xdr:from>
    <xdr:to>
      <xdr:col>11</xdr:col>
      <xdr:colOff>597232</xdr:colOff>
      <xdr:row>84</xdr:row>
      <xdr:rowOff>152401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9800" y="16065500"/>
          <a:ext cx="2108532" cy="133350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64</xdr:row>
      <xdr:rowOff>38100</xdr:rowOff>
    </xdr:from>
    <xdr:to>
      <xdr:col>5</xdr:col>
      <xdr:colOff>533400</xdr:colOff>
      <xdr:row>84</xdr:row>
      <xdr:rowOff>101600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600200" y="14871700"/>
          <a:ext cx="2781300" cy="3873500"/>
          <a:chOff x="1790700" y="11499850"/>
          <a:chExt cx="2552700" cy="487045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18" name="Picture 17">
                <a:extLst>
                  <a:ext uri="{FF2B5EF4-FFF2-40B4-BE49-F238E27FC236}">
                    <a16:creationId xmlns:a16="http://schemas.microsoft.com/office/drawing/2014/main" id="{00000000-0008-0000-0300-00001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19" name="Rectangle 18">
                <a:extLst>
                  <a:ext uri="{FF2B5EF4-FFF2-40B4-BE49-F238E27FC236}">
                    <a16:creationId xmlns:a16="http://schemas.microsoft.com/office/drawing/2014/main" id="{00000000-0008-0000-0300-000013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0" name="Rectangle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38638</xdr:colOff>
      <xdr:row>3</xdr:row>
      <xdr:rowOff>37885</xdr:rowOff>
    </xdr:from>
    <xdr:to>
      <xdr:col>10</xdr:col>
      <xdr:colOff>140238</xdr:colOff>
      <xdr:row>23</xdr:row>
      <xdr:rowOff>91914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383B03-BBE1-F346-AB20-1CE8557DB471}"/>
            </a:ext>
          </a:extLst>
        </xdr:cNvPr>
        <xdr:cNvSpPr/>
      </xdr:nvSpPr>
      <xdr:spPr>
        <a:xfrm>
          <a:off x="1157960" y="1286360"/>
          <a:ext cx="6731431" cy="3928605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42448</xdr:colOff>
      <xdr:row>7</xdr:row>
      <xdr:rowOff>21525</xdr:rowOff>
    </xdr:from>
    <xdr:to>
      <xdr:col>10</xdr:col>
      <xdr:colOff>129152</xdr:colOff>
      <xdr:row>7</xdr:row>
      <xdr:rowOff>21783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161770" y="2044915"/>
          <a:ext cx="6716535" cy="2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43051</xdr:colOff>
      <xdr:row>3</xdr:row>
      <xdr:rowOff>96864</xdr:rowOff>
    </xdr:from>
    <xdr:to>
      <xdr:col>10</xdr:col>
      <xdr:colOff>96864</xdr:colOff>
      <xdr:row>23</xdr:row>
      <xdr:rowOff>53813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1162373" y="1345339"/>
          <a:ext cx="6683644" cy="3831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3</xdr:row>
      <xdr:rowOff>165101</xdr:rowOff>
    </xdr:from>
    <xdr:to>
      <xdr:col>11</xdr:col>
      <xdr:colOff>447036</xdr:colOff>
      <xdr:row>22</xdr:row>
      <xdr:rowOff>38100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 flipH="1">
          <a:off x="8591550" y="1409701"/>
          <a:ext cx="46986" cy="3492499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2</xdr:row>
      <xdr:rowOff>154940</xdr:rowOff>
    </xdr:from>
    <xdr:to>
      <xdr:col>11</xdr:col>
      <xdr:colOff>95250</xdr:colOff>
      <xdr:row>23</xdr:row>
      <xdr:rowOff>44450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8277860" y="1209040"/>
          <a:ext cx="8890" cy="389001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522220" y="914400"/>
          <a:ext cx="0" cy="3886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101600</xdr:rowOff>
    </xdr:from>
    <xdr:to>
      <xdr:col>3</xdr:col>
      <xdr:colOff>567488</xdr:colOff>
      <xdr:row>2</xdr:row>
      <xdr:rowOff>63500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01600"/>
          <a:ext cx="1405688" cy="952500"/>
        </a:xfrm>
        <a:prstGeom prst="rect">
          <a:avLst/>
        </a:prstGeom>
      </xdr:spPr>
    </xdr:pic>
    <xdr:clientData/>
  </xdr:twoCellAnchor>
  <xdr:twoCellAnchor>
    <xdr:from>
      <xdr:col>11</xdr:col>
      <xdr:colOff>367030</xdr:colOff>
      <xdr:row>3</xdr:row>
      <xdr:rowOff>133351</xdr:rowOff>
    </xdr:from>
    <xdr:to>
      <xdr:col>11</xdr:col>
      <xdr:colOff>412749</xdr:colOff>
      <xdr:row>22</xdr:row>
      <xdr:rowOff>76200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DC7D78CB-BFB4-6A4C-BC1C-A1F8103EA4AC}"/>
            </a:ext>
          </a:extLst>
        </xdr:cNvPr>
        <xdr:cNvSpPr>
          <a:spLocks noChangeArrowheads="1"/>
        </xdr:cNvSpPr>
      </xdr:nvSpPr>
      <xdr:spPr bwMode="auto">
        <a:xfrm>
          <a:off x="8558530" y="1377951"/>
          <a:ext cx="45719" cy="3562349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730250</xdr:colOff>
      <xdr:row>24</xdr:row>
      <xdr:rowOff>152400</xdr:rowOff>
    </xdr:from>
    <xdr:to>
      <xdr:col>10</xdr:col>
      <xdr:colOff>120650</xdr:colOff>
      <xdr:row>24</xdr:row>
      <xdr:rowOff>158750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0FA6570-5A77-E148-A4D4-0DD33AD82C07}"/>
            </a:ext>
          </a:extLst>
        </xdr:cNvPr>
        <xdr:cNvCxnSpPr/>
      </xdr:nvCxnSpPr>
      <xdr:spPr>
        <a:xfrm flipV="1">
          <a:off x="730250" y="5397500"/>
          <a:ext cx="6756400" cy="635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107627</xdr:colOff>
      <xdr:row>3</xdr:row>
      <xdr:rowOff>88900</xdr:rowOff>
    </xdr:from>
    <xdr:to>
      <xdr:col>4</xdr:col>
      <xdr:colOff>109220</xdr:colOff>
      <xdr:row>23</xdr:row>
      <xdr:rowOff>86102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5A995142-C0C2-FC49-8EC9-E6E478D0EA37}"/>
            </a:ext>
          </a:extLst>
        </xdr:cNvPr>
        <xdr:cNvCxnSpPr/>
      </xdr:nvCxnSpPr>
      <xdr:spPr>
        <a:xfrm flipH="1">
          <a:off x="2884407" y="1337375"/>
          <a:ext cx="1593" cy="38717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567488</xdr:colOff>
      <xdr:row>2</xdr:row>
      <xdr:rowOff>76200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457349A-ECFE-854F-BC2B-21EB7099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34871</xdr:colOff>
      <xdr:row>69</xdr:row>
      <xdr:rowOff>79213</xdr:rowOff>
    </xdr:from>
    <xdr:to>
      <xdr:col>11</xdr:col>
      <xdr:colOff>290594</xdr:colOff>
      <xdr:row>75</xdr:row>
      <xdr:rowOff>158803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9007F27-D8EF-9343-B15A-464C1673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5295" y="14361332"/>
          <a:ext cx="1913180" cy="1241963"/>
        </a:xfrm>
        <a:prstGeom prst="rect">
          <a:avLst/>
        </a:prstGeom>
      </xdr:spPr>
    </xdr:pic>
    <xdr:clientData/>
  </xdr:twoCellAnchor>
  <xdr:twoCellAnchor>
    <xdr:from>
      <xdr:col>2</xdr:col>
      <xdr:colOff>277462</xdr:colOff>
      <xdr:row>57</xdr:row>
      <xdr:rowOff>57150</xdr:rowOff>
    </xdr:from>
    <xdr:to>
      <xdr:col>5</xdr:col>
      <xdr:colOff>290594</xdr:colOff>
      <xdr:row>76</xdr:row>
      <xdr:rowOff>150678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74EF82A-1B5A-9143-95CF-B7023CEEFF88}"/>
            </a:ext>
          </a:extLst>
        </xdr:cNvPr>
        <xdr:cNvGrpSpPr/>
      </xdr:nvGrpSpPr>
      <xdr:grpSpPr>
        <a:xfrm>
          <a:off x="1396784" y="12014523"/>
          <a:ext cx="2499318" cy="3774375"/>
          <a:chOff x="1790700" y="11499850"/>
          <a:chExt cx="2552700" cy="4870450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A3E4E619-24D7-7249-A256-C8352761E50B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3955E333-A6D4-E742-BF47-61CD21313265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36" name="Picture 35">
                <a:extLst>
                  <a:ext uri="{FF2B5EF4-FFF2-40B4-BE49-F238E27FC236}">
                    <a16:creationId xmlns:a16="http://schemas.microsoft.com/office/drawing/2014/main" id="{9D416AF9-8DCE-D943-B8C9-D6F2C1B1E3B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37" name="Rectangle 36">
                <a:extLst>
                  <a:ext uri="{FF2B5EF4-FFF2-40B4-BE49-F238E27FC236}">
                    <a16:creationId xmlns:a16="http://schemas.microsoft.com/office/drawing/2014/main" id="{A1AB7394-AACA-C144-965E-E9A9711A4557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1E0BE425-5DFF-B648-9EAB-0D8BF44DC603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35" name="Straight Arrow Connector 34">
              <a:extLst>
                <a:ext uri="{FF2B5EF4-FFF2-40B4-BE49-F238E27FC236}">
                  <a16:creationId xmlns:a16="http://schemas.microsoft.com/office/drawing/2014/main" id="{585734CA-43A5-D043-8F6E-4A88BD39518A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D00F84C-4223-DA47-BB17-68C887857B16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  <xdr:twoCellAnchor>
    <xdr:from>
      <xdr:col>11</xdr:col>
      <xdr:colOff>488950</xdr:colOff>
      <xdr:row>2</xdr:row>
      <xdr:rowOff>146050</xdr:rowOff>
    </xdr:from>
    <xdr:to>
      <xdr:col>11</xdr:col>
      <xdr:colOff>495300</xdr:colOff>
      <xdr:row>23</xdr:row>
      <xdr:rowOff>6350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AEBE6F4-B2CE-C44A-8517-00834BC6822B}"/>
            </a:ext>
          </a:extLst>
        </xdr:cNvPr>
        <xdr:cNvCxnSpPr/>
      </xdr:nvCxnSpPr>
      <xdr:spPr>
        <a:xfrm>
          <a:off x="8680450" y="1200150"/>
          <a:ext cx="6350" cy="386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</xdr:colOff>
      <xdr:row>3</xdr:row>
      <xdr:rowOff>124460</xdr:rowOff>
    </xdr:from>
    <xdr:to>
      <xdr:col>10</xdr:col>
      <xdr:colOff>48260</xdr:colOff>
      <xdr:row>3</xdr:row>
      <xdr:rowOff>124460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470660" y="108966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25400</xdr:rowOff>
    </xdr:from>
    <xdr:to>
      <xdr:col>10</xdr:col>
      <xdr:colOff>75576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327152" y="1422400"/>
          <a:ext cx="6736724" cy="3797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952500</xdr:colOff>
      <xdr:row>4</xdr:row>
      <xdr:rowOff>165100</xdr:rowOff>
    </xdr:from>
    <xdr:to>
      <xdr:col>9</xdr:col>
      <xdr:colOff>927100</xdr:colOff>
      <xdr:row>23</xdr:row>
      <xdr:rowOff>88900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952500" y="990600"/>
          <a:ext cx="854710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4</xdr:row>
      <xdr:rowOff>12700</xdr:rowOff>
    </xdr:from>
    <xdr:to>
      <xdr:col>11</xdr:col>
      <xdr:colOff>401319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25400</xdr:rowOff>
    </xdr:from>
    <xdr:to>
      <xdr:col>11</xdr:col>
      <xdr:colOff>88900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8900160" y="1905000"/>
          <a:ext cx="2540" cy="3888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25</xdr:row>
      <xdr:rowOff>152400</xdr:rowOff>
    </xdr:from>
    <xdr:to>
      <xdr:col>10</xdr:col>
      <xdr:colOff>177800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622300" y="4965700"/>
          <a:ext cx="69215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4</xdr:row>
      <xdr:rowOff>88900</xdr:rowOff>
    </xdr:from>
    <xdr:to>
      <xdr:col>4</xdr:col>
      <xdr:colOff>109220</xdr:colOff>
      <xdr:row>23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522220" y="9017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60</xdr:row>
      <xdr:rowOff>165100</xdr:rowOff>
    </xdr:from>
    <xdr:to>
      <xdr:col>11</xdr:col>
      <xdr:colOff>478588</xdr:colOff>
      <xdr:row>65</xdr:row>
      <xdr:rowOff>101600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11645900"/>
          <a:ext cx="1405688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66</xdr:row>
      <xdr:rowOff>31246</xdr:rowOff>
    </xdr:from>
    <xdr:to>
      <xdr:col>12</xdr:col>
      <xdr:colOff>101600</xdr:colOff>
      <xdr:row>100</xdr:row>
      <xdr:rowOff>16884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12858246"/>
          <a:ext cx="9220200" cy="64626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9</xdr:row>
      <xdr:rowOff>114300</xdr:rowOff>
    </xdr:from>
    <xdr:to>
      <xdr:col>9</xdr:col>
      <xdr:colOff>431800</xdr:colOff>
      <xdr:row>27</xdr:row>
      <xdr:rowOff>35560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3543300"/>
          <a:ext cx="7429500" cy="354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8</xdr:row>
      <xdr:rowOff>76200</xdr:rowOff>
    </xdr:from>
    <xdr:to>
      <xdr:col>9</xdr:col>
      <xdr:colOff>292100</xdr:colOff>
      <xdr:row>8</xdr:row>
      <xdr:rowOff>88900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1435100" y="3314700"/>
          <a:ext cx="71120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10</xdr:row>
      <xdr:rowOff>152400</xdr:rowOff>
    </xdr:from>
    <xdr:to>
      <xdr:col>9</xdr:col>
      <xdr:colOff>190500</xdr:colOff>
      <xdr:row>25</xdr:row>
      <xdr:rowOff>177800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1460500" y="3771900"/>
          <a:ext cx="6985000" cy="3073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</xdr:colOff>
      <xdr:row>9</xdr:row>
      <xdr:rowOff>139700</xdr:rowOff>
    </xdr:from>
    <xdr:to>
      <xdr:col>12</xdr:col>
      <xdr:colOff>223519</xdr:colOff>
      <xdr:row>27</xdr:row>
      <xdr:rowOff>38101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9969500" y="3568700"/>
          <a:ext cx="96519" cy="35560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480060</xdr:colOff>
      <xdr:row>9</xdr:row>
      <xdr:rowOff>101600</xdr:rowOff>
    </xdr:from>
    <xdr:to>
      <xdr:col>11</xdr:col>
      <xdr:colOff>482600</xdr:colOff>
      <xdr:row>27</xdr:row>
      <xdr:rowOff>91440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9497060" y="3530600"/>
          <a:ext cx="2540" cy="36474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431800</xdr:colOff>
      <xdr:row>28</xdr:row>
      <xdr:rowOff>0</xdr:rowOff>
    </xdr:from>
    <xdr:to>
      <xdr:col>9</xdr:col>
      <xdr:colOff>444500</xdr:colOff>
      <xdr:row>28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1257300" y="7239000"/>
          <a:ext cx="7442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126030</xdr:colOff>
      <xdr:row>10</xdr:row>
      <xdr:rowOff>152400</xdr:rowOff>
    </xdr:from>
    <xdr:to>
      <xdr:col>1</xdr:col>
      <xdr:colOff>134620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951530" y="3771900"/>
          <a:ext cx="8590" cy="3098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685800</xdr:colOff>
      <xdr:row>1</xdr:row>
      <xdr:rowOff>139700</xdr:rowOff>
    </xdr:from>
    <xdr:to>
      <xdr:col>3</xdr:col>
      <xdr:colOff>173788</xdr:colOff>
      <xdr:row>3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39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58</xdr:row>
      <xdr:rowOff>63500</xdr:rowOff>
    </xdr:from>
    <xdr:to>
      <xdr:col>11</xdr:col>
      <xdr:colOff>618288</xdr:colOff>
      <xdr:row>63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3614400"/>
          <a:ext cx="1405688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606960</xdr:colOff>
      <xdr:row>9</xdr:row>
      <xdr:rowOff>148680</xdr:rowOff>
    </xdr:from>
    <xdr:to>
      <xdr:col>0</xdr:col>
      <xdr:colOff>607320</xdr:colOff>
      <xdr:row>9</xdr:row>
      <xdr:rowOff>149040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14:cNvPr>
            <xdr14:cNvContentPartPr/>
          </xdr14:nvContentPartPr>
          <xdr14:nvPr macro=""/>
          <xdr14:xfrm>
            <a:off x="606960" y="357768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02640" y="35733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736600</xdr:colOff>
      <xdr:row>10</xdr:row>
      <xdr:rowOff>114300</xdr:rowOff>
    </xdr:from>
    <xdr:to>
      <xdr:col>1</xdr:col>
      <xdr:colOff>431800</xdr:colOff>
      <xdr:row>10</xdr:row>
      <xdr:rowOff>114300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4A1AA5-DFC2-C453-80AD-A983C2A2FB33}"/>
            </a:ext>
          </a:extLst>
        </xdr:cNvPr>
        <xdr:cNvCxnSpPr/>
      </xdr:nvCxnSpPr>
      <xdr:spPr>
        <a:xfrm flipH="1">
          <a:off x="736600" y="37338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520700</xdr:colOff>
      <xdr:row>26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9941DB5-F496-8545-97F6-B52CD3F61F7B}"/>
            </a:ext>
          </a:extLst>
        </xdr:cNvPr>
        <xdr:cNvCxnSpPr/>
      </xdr:nvCxnSpPr>
      <xdr:spPr>
        <a:xfrm flipH="1">
          <a:off x="825500" y="68961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727698</xdr:colOff>
      <xdr:row>62</xdr:row>
      <xdr:rowOff>58968</xdr:rowOff>
    </xdr:from>
    <xdr:to>
      <xdr:col>9</xdr:col>
      <xdr:colOff>16871</xdr:colOff>
      <xdr:row>91</xdr:row>
      <xdr:rowOff>9408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98EA9A3-4578-ADCE-52DD-D142405F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1498" y="11438168"/>
          <a:ext cx="3717302" cy="724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597007</xdr:colOff>
      <xdr:row>28</xdr:row>
      <xdr:rowOff>21709</xdr:rowOff>
    </xdr:from>
    <xdr:to>
      <xdr:col>12</xdr:col>
      <xdr:colOff>76851</xdr:colOff>
      <xdr:row>31</xdr:row>
      <xdr:rowOff>61437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BD07AFD-EA06-55E1-E021-7095DF5A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2520" y="4743504"/>
          <a:ext cx="3048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211668</xdr:colOff>
      <xdr:row>8</xdr:row>
      <xdr:rowOff>119402</xdr:rowOff>
    </xdr:from>
    <xdr:to>
      <xdr:col>12</xdr:col>
      <xdr:colOff>85212</xdr:colOff>
      <xdr:row>12</xdr:row>
      <xdr:rowOff>98018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97D4C7E-651F-2B5A-0B72-D5CAD654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7181" y="1031197"/>
          <a:ext cx="698500" cy="749300"/>
        </a:xfrm>
        <a:prstGeom prst="rect">
          <a:avLst/>
        </a:prstGeom>
      </xdr:spPr>
    </xdr:pic>
    <xdr:clientData/>
  </xdr:twoCellAnchor>
  <xdr:twoCellAnchor>
    <xdr:from>
      <xdr:col>2</xdr:col>
      <xdr:colOff>250765</xdr:colOff>
      <xdr:row>30</xdr:row>
      <xdr:rowOff>129427</xdr:rowOff>
    </xdr:from>
    <xdr:to>
      <xdr:col>9</xdr:col>
      <xdr:colOff>97070</xdr:colOff>
      <xdr:row>30</xdr:row>
      <xdr:rowOff>161783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 flipV="1">
          <a:off x="1634013" y="7506752"/>
          <a:ext cx="6447070" cy="3235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43418</xdr:rowOff>
    </xdr:from>
    <xdr:to>
      <xdr:col>8</xdr:col>
      <xdr:colOff>439615</xdr:colOff>
      <xdr:row>28</xdr:row>
      <xdr:rowOff>91440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2092960" y="2349738"/>
          <a:ext cx="5001455" cy="338050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60732</xdr:colOff>
      <xdr:row>8</xdr:row>
      <xdr:rowOff>137643</xdr:rowOff>
    </xdr:from>
    <xdr:to>
      <xdr:col>11</xdr:col>
      <xdr:colOff>65128</xdr:colOff>
      <xdr:row>31</xdr:row>
      <xdr:rowOff>5427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8576245" y="1657301"/>
          <a:ext cx="4396" cy="424765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24541</xdr:colOff>
      <xdr:row>12</xdr:row>
      <xdr:rowOff>61353</xdr:rowOff>
    </xdr:from>
    <xdr:to>
      <xdr:col>2</xdr:col>
      <xdr:colOff>35696</xdr:colOff>
      <xdr:row>28</xdr:row>
      <xdr:rowOff>106918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1411111" y="3693430"/>
          <a:ext cx="11155" cy="332793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146539</xdr:colOff>
      <xdr:row>7</xdr:row>
      <xdr:rowOff>276795</xdr:rowOff>
    </xdr:from>
    <xdr:to>
      <xdr:col>9</xdr:col>
      <xdr:colOff>130257</xdr:colOff>
      <xdr:row>7</xdr:row>
      <xdr:rowOff>276795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906368" y="1492521"/>
          <a:ext cx="60894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172720</xdr:colOff>
      <xdr:row>21</xdr:row>
      <xdr:rowOff>193040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3698240" y="268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265940</xdr:colOff>
      <xdr:row>11</xdr:row>
      <xdr:rowOff>124740</xdr:rowOff>
    </xdr:from>
    <xdr:to>
      <xdr:col>12</xdr:col>
      <xdr:colOff>270438</xdr:colOff>
      <xdr:row>31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9606410" y="2225125"/>
          <a:ext cx="4498" cy="3674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520700</xdr:colOff>
      <xdr:row>1</xdr:row>
      <xdr:rowOff>76200</xdr:rowOff>
    </xdr:from>
    <xdr:to>
      <xdr:col>2</xdr:col>
      <xdr:colOff>1009652</xdr:colOff>
      <xdr:row>4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74755</xdr:colOff>
      <xdr:row>83</xdr:row>
      <xdr:rowOff>40640</xdr:rowOff>
    </xdr:from>
    <xdr:to>
      <xdr:col>11</xdr:col>
      <xdr:colOff>632680</xdr:colOff>
      <xdr:row>90</xdr:row>
      <xdr:rowOff>167641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2515" y="18989040"/>
          <a:ext cx="2203845" cy="1478281"/>
        </a:xfrm>
        <a:prstGeom prst="rect">
          <a:avLst/>
        </a:prstGeom>
      </xdr:spPr>
    </xdr:pic>
    <xdr:clientData/>
  </xdr:twoCellAnchor>
  <xdr:oneCellAnchor>
    <xdr:from>
      <xdr:col>4</xdr:col>
      <xdr:colOff>660943</xdr:colOff>
      <xdr:row>10</xdr:row>
      <xdr:rowOff>68928</xdr:rowOff>
    </xdr:from>
    <xdr:ext cx="1334724" cy="405432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3108678" y="1371492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>
    <xdr:from>
      <xdr:col>11</xdr:col>
      <xdr:colOff>700128</xdr:colOff>
      <xdr:row>11</xdr:row>
      <xdr:rowOff>103120</xdr:rowOff>
    </xdr:from>
    <xdr:to>
      <xdr:col>11</xdr:col>
      <xdr:colOff>710983</xdr:colOff>
      <xdr:row>30</xdr:row>
      <xdr:rowOff>27137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6832D06-2DE3-BE59-D64C-F13DDBC74652}"/>
            </a:ext>
          </a:extLst>
        </xdr:cNvPr>
        <xdr:cNvCxnSpPr/>
      </xdr:nvCxnSpPr>
      <xdr:spPr>
        <a:xfrm>
          <a:off x="9215641" y="1595641"/>
          <a:ext cx="10855" cy="35332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309359</xdr:colOff>
      <xdr:row>8</xdr:row>
      <xdr:rowOff>48846</xdr:rowOff>
    </xdr:from>
    <xdr:to>
      <xdr:col>11</xdr:col>
      <xdr:colOff>808675</xdr:colOff>
      <xdr:row>8</xdr:row>
      <xdr:rowOff>48846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2F49FD6-8F82-CF8E-F356-E47AD790C9E0}"/>
            </a:ext>
          </a:extLst>
        </xdr:cNvPr>
        <xdr:cNvCxnSpPr/>
      </xdr:nvCxnSpPr>
      <xdr:spPr>
        <a:xfrm>
          <a:off x="8824872" y="960641"/>
          <a:ext cx="49931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264160</xdr:colOff>
      <xdr:row>8</xdr:row>
      <xdr:rowOff>162560</xdr:rowOff>
    </xdr:from>
    <xdr:to>
      <xdr:col>12</xdr:col>
      <xdr:colOff>265940</xdr:colOff>
      <xdr:row>11</xdr:row>
      <xdr:rowOff>97693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9C380CB-2A88-2932-1BC8-1B759FE6C282}"/>
            </a:ext>
          </a:extLst>
        </xdr:cNvPr>
        <xdr:cNvCxnSpPr/>
      </xdr:nvCxnSpPr>
      <xdr:spPr>
        <a:xfrm flipH="1" flipV="1">
          <a:off x="10210800" y="1686560"/>
          <a:ext cx="1780" cy="5244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27137</xdr:colOff>
      <xdr:row>10</xdr:row>
      <xdr:rowOff>130257</xdr:rowOff>
    </xdr:from>
    <xdr:to>
      <xdr:col>2</xdr:col>
      <xdr:colOff>32564</xdr:colOff>
      <xdr:row>12</xdr:row>
      <xdr:rowOff>65128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E1D0F9B-82A2-0CF3-FD62-56DE5FF1F0F3}"/>
            </a:ext>
          </a:extLst>
        </xdr:cNvPr>
        <xdr:cNvCxnSpPr/>
      </xdr:nvCxnSpPr>
      <xdr:spPr>
        <a:xfrm flipH="1">
          <a:off x="786966" y="2040684"/>
          <a:ext cx="5427" cy="314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162559</xdr:colOff>
      <xdr:row>9</xdr:row>
      <xdr:rowOff>1</xdr:rowOff>
    </xdr:from>
    <xdr:to>
      <xdr:col>9</xdr:col>
      <xdr:colOff>189769</xdr:colOff>
      <xdr:row>30</xdr:row>
      <xdr:rowOff>5928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31D54-26EF-DA4A-103F-A7E77746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9129" y="3061499"/>
          <a:ext cx="6641026" cy="4218400"/>
        </a:xfrm>
        <a:prstGeom prst="rect">
          <a:avLst/>
        </a:prstGeom>
      </xdr:spPr>
    </xdr:pic>
    <xdr:clientData/>
  </xdr:twoCellAnchor>
  <xdr:twoCellAnchor>
    <xdr:from>
      <xdr:col>2</xdr:col>
      <xdr:colOff>705556</xdr:colOff>
      <xdr:row>13</xdr:row>
      <xdr:rowOff>104299</xdr:rowOff>
    </xdr:from>
    <xdr:to>
      <xdr:col>8</xdr:col>
      <xdr:colOff>472415</xdr:colOff>
      <xdr:row>13</xdr:row>
      <xdr:rowOff>104299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B95A039-3F3C-7795-DF99-80321A182D06}"/>
            </a:ext>
          </a:extLst>
        </xdr:cNvPr>
        <xdr:cNvCxnSpPr/>
      </xdr:nvCxnSpPr>
      <xdr:spPr>
        <a:xfrm>
          <a:off x="2092126" y="3926570"/>
          <a:ext cx="555241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38329</xdr:colOff>
      <xdr:row>28</xdr:row>
      <xdr:rowOff>105285</xdr:rowOff>
    </xdr:from>
    <xdr:to>
      <xdr:col>2</xdr:col>
      <xdr:colOff>42905</xdr:colOff>
      <xdr:row>30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2ECEAE-512D-5449-A53A-467B1889CFDA}"/>
            </a:ext>
          </a:extLst>
        </xdr:cNvPr>
        <xdr:cNvCxnSpPr/>
      </xdr:nvCxnSpPr>
      <xdr:spPr>
        <a:xfrm>
          <a:off x="1424174" y="6978731"/>
          <a:ext cx="4576" cy="27228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760773</xdr:colOff>
      <xdr:row>28</xdr:row>
      <xdr:rowOff>98165</xdr:rowOff>
    </xdr:from>
    <xdr:to>
      <xdr:col>2</xdr:col>
      <xdr:colOff>214734</xdr:colOff>
      <xdr:row>28</xdr:row>
      <xdr:rowOff>104300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70FCD86-4683-A544-D3D8-83D908546A06}"/>
            </a:ext>
          </a:extLst>
        </xdr:cNvPr>
        <xdr:cNvCxnSpPr/>
      </xdr:nvCxnSpPr>
      <xdr:spPr>
        <a:xfrm>
          <a:off x="1233188" y="7012609"/>
          <a:ext cx="368116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736232</xdr:colOff>
      <xdr:row>12</xdr:row>
      <xdr:rowOff>67488</xdr:rowOff>
    </xdr:from>
    <xdr:to>
      <xdr:col>2</xdr:col>
      <xdr:colOff>202464</xdr:colOff>
      <xdr:row>12</xdr:row>
      <xdr:rowOff>73623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8707BC8-E99D-D9F2-74CE-E14BF5A829D1}"/>
            </a:ext>
          </a:extLst>
        </xdr:cNvPr>
        <xdr:cNvCxnSpPr/>
      </xdr:nvCxnSpPr>
      <xdr:spPr>
        <a:xfrm>
          <a:off x="1208647" y="3699565"/>
          <a:ext cx="380387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134976</xdr:colOff>
      <xdr:row>11</xdr:row>
      <xdr:rowOff>116570</xdr:rowOff>
    </xdr:from>
    <xdr:to>
      <xdr:col>12</xdr:col>
      <xdr:colOff>392657</xdr:colOff>
      <xdr:row>11</xdr:row>
      <xdr:rowOff>122705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149FE72D-AE09-775B-5C8C-3F6F3070FA4C}"/>
            </a:ext>
          </a:extLst>
        </xdr:cNvPr>
        <xdr:cNvCxnSpPr/>
      </xdr:nvCxnSpPr>
      <xdr:spPr>
        <a:xfrm flipV="1">
          <a:off x="10620145" y="3558454"/>
          <a:ext cx="257681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452120</xdr:colOff>
      <xdr:row>4</xdr:row>
      <xdr:rowOff>77816</xdr:rowOff>
    </xdr:from>
    <xdr:to>
      <xdr:col>9</xdr:col>
      <xdr:colOff>218440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120" y="1195416"/>
          <a:ext cx="7462520" cy="4303684"/>
        </a:xfrm>
        <a:prstGeom prst="rect">
          <a:avLst/>
        </a:prstGeom>
      </xdr:spPr>
    </xdr:pic>
    <xdr:clientData/>
  </xdr:twoCellAnchor>
  <xdr:twoCellAnchor>
    <xdr:from>
      <xdr:col>1</xdr:col>
      <xdr:colOff>553720</xdr:colOff>
      <xdr:row>12</xdr:row>
      <xdr:rowOff>111760</xdr:rowOff>
    </xdr:from>
    <xdr:to>
      <xdr:col>8</xdr:col>
      <xdr:colOff>147320</xdr:colOff>
      <xdr:row>12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315720" y="2854960"/>
          <a:ext cx="570230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11</xdr:row>
      <xdr:rowOff>127000</xdr:rowOff>
    </xdr:from>
    <xdr:to>
      <xdr:col>8</xdr:col>
      <xdr:colOff>139700</xdr:colOff>
      <xdr:row>24</xdr:row>
      <xdr:rowOff>63500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V="1">
          <a:off x="1346200" y="2667000"/>
          <a:ext cx="5664200" cy="257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6</xdr:row>
      <xdr:rowOff>61684</xdr:rowOff>
    </xdr:from>
    <xdr:to>
      <xdr:col>10</xdr:col>
      <xdr:colOff>337819</xdr:colOff>
      <xdr:row>25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8813800" y="1585684"/>
          <a:ext cx="45719" cy="3811816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86360</xdr:colOff>
      <xdr:row>4</xdr:row>
      <xdr:rowOff>154940</xdr:rowOff>
    </xdr:from>
    <xdr:to>
      <xdr:col>10</xdr:col>
      <xdr:colOff>114300</xdr:colOff>
      <xdr:row>25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8608060" y="1272540"/>
          <a:ext cx="27940" cy="41884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1003300</xdr:colOff>
      <xdr:row>11</xdr:row>
      <xdr:rowOff>76200</xdr:rowOff>
    </xdr:from>
    <xdr:to>
      <xdr:col>3</xdr:col>
      <xdr:colOff>1016000</xdr:colOff>
      <xdr:row>24</xdr:row>
      <xdr:rowOff>88900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3454400" y="2616200"/>
          <a:ext cx="1270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5</xdr:row>
      <xdr:rowOff>114300</xdr:rowOff>
    </xdr:from>
    <xdr:to>
      <xdr:col>10</xdr:col>
      <xdr:colOff>622300</xdr:colOff>
      <xdr:row>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8674100" y="1435100"/>
          <a:ext cx="469900" cy="0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203200</xdr:colOff>
      <xdr:row>25</xdr:row>
      <xdr:rowOff>12700</xdr:rowOff>
    </xdr:from>
    <xdr:to>
      <xdr:col>10</xdr:col>
      <xdr:colOff>393700</xdr:colOff>
      <xdr:row>25</xdr:row>
      <xdr:rowOff>21771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8724900" y="5397500"/>
          <a:ext cx="190500" cy="9071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471714</xdr:colOff>
      <xdr:row>3</xdr:row>
      <xdr:rowOff>190500</xdr:rowOff>
    </xdr:from>
    <xdr:to>
      <xdr:col>9</xdr:col>
      <xdr:colOff>208643</xdr:colOff>
      <xdr:row>4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471714" y="1104900"/>
          <a:ext cx="7433129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685800</xdr:colOff>
      <xdr:row>6</xdr:row>
      <xdr:rowOff>43180</xdr:rowOff>
    </xdr:from>
    <xdr:to>
      <xdr:col>10</xdr:col>
      <xdr:colOff>711200</xdr:colOff>
      <xdr:row>25</xdr:row>
      <xdr:rowOff>50800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9207500" y="1567180"/>
          <a:ext cx="25400" cy="38684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16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5392420" y="374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25</xdr:row>
      <xdr:rowOff>190500</xdr:rowOff>
    </xdr:from>
    <xdr:to>
      <xdr:col>8</xdr:col>
      <xdr:colOff>774700</xdr:colOff>
      <xdr:row>26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62000" y="5575300"/>
          <a:ext cx="6883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520700</xdr:colOff>
      <xdr:row>0</xdr:row>
      <xdr:rowOff>76200</xdr:rowOff>
    </xdr:from>
    <xdr:to>
      <xdr:col>2</xdr:col>
      <xdr:colOff>300788</xdr:colOff>
      <xdr:row>3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56</xdr:row>
      <xdr:rowOff>165100</xdr:rowOff>
    </xdr:from>
    <xdr:to>
      <xdr:col>11</xdr:col>
      <xdr:colOff>72188</xdr:colOff>
      <xdr:row>58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3700" y="12090400"/>
          <a:ext cx="1405688" cy="952500"/>
        </a:xfrm>
        <a:prstGeom prst="rect">
          <a:avLst/>
        </a:prstGeom>
      </xdr:spPr>
    </xdr:pic>
    <xdr:clientData/>
  </xdr:twoCellAnchor>
  <xdr:oneCellAnchor>
    <xdr:from>
      <xdr:col>3</xdr:col>
      <xdr:colOff>850900</xdr:colOff>
      <xdr:row>7</xdr:row>
      <xdr:rowOff>63500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3302000" y="17907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5</xdr:col>
      <xdr:colOff>144262</xdr:colOff>
      <xdr:row>48</xdr:row>
      <xdr:rowOff>114300</xdr:rowOff>
    </xdr:from>
    <xdr:to>
      <xdr:col>8</xdr:col>
      <xdr:colOff>495300</xdr:colOff>
      <xdr:row>57</xdr:row>
      <xdr:rowOff>444500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8462" y="9880600"/>
          <a:ext cx="2827538" cy="29718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4T08:35:28.55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showGridLines="0" zoomScaleNormal="100" zoomScalePageLayoutView="120" workbookViewId="0">
      <selection activeCell="D7" sqref="D7"/>
    </sheetView>
  </sheetViews>
  <sheetFormatPr baseColWidth="10" defaultColWidth="11" defaultRowHeight="16" x14ac:dyDescent="0.2"/>
  <cols>
    <col min="1" max="1" width="4.33203125" customWidth="1"/>
    <col min="2" max="2" width="91.33203125" customWidth="1"/>
  </cols>
  <sheetData>
    <row r="1" spans="2:5" x14ac:dyDescent="0.2">
      <c r="B1" s="1"/>
    </row>
    <row r="2" spans="2:5" x14ac:dyDescent="0.2">
      <c r="B2" s="1"/>
    </row>
    <row r="3" spans="2:5" x14ac:dyDescent="0.2">
      <c r="B3" s="1"/>
    </row>
    <row r="4" spans="2:5" x14ac:dyDescent="0.2">
      <c r="B4" s="1"/>
    </row>
    <row r="5" spans="2:5" x14ac:dyDescent="0.2">
      <c r="B5" s="1"/>
    </row>
    <row r="6" spans="2:5" x14ac:dyDescent="0.2">
      <c r="B6" s="1"/>
    </row>
    <row r="7" spans="2:5" x14ac:dyDescent="0.2">
      <c r="B7" s="1"/>
    </row>
    <row r="8" spans="2:5" x14ac:dyDescent="0.2">
      <c r="B8" s="1"/>
    </row>
    <row r="9" spans="2:5" x14ac:dyDescent="0.2">
      <c r="B9" s="1"/>
    </row>
    <row r="10" spans="2:5" ht="33" customHeight="1" x14ac:dyDescent="0.2">
      <c r="B10" s="1"/>
    </row>
    <row r="11" spans="2:5" ht="28" customHeight="1" x14ac:dyDescent="0.3">
      <c r="B11" s="412" t="s">
        <v>285</v>
      </c>
      <c r="C11" s="34"/>
      <c r="D11" s="34"/>
      <c r="E11" s="34"/>
    </row>
    <row r="12" spans="2:5" ht="28" customHeight="1" x14ac:dyDescent="0.3">
      <c r="B12" s="412" t="s">
        <v>284</v>
      </c>
      <c r="C12" s="34"/>
      <c r="D12" s="34"/>
      <c r="E12" s="34"/>
    </row>
    <row r="13" spans="2:5" s="34" customFormat="1" ht="28" customHeight="1" x14ac:dyDescent="0.3">
      <c r="B13" s="412" t="s">
        <v>286</v>
      </c>
    </row>
    <row r="14" spans="2:5" ht="28" customHeight="1" x14ac:dyDescent="0.3">
      <c r="B14" s="412" t="s">
        <v>287</v>
      </c>
      <c r="C14" s="34"/>
      <c r="D14" s="34"/>
      <c r="E14" s="34"/>
    </row>
    <row r="15" spans="2:5" ht="28" customHeight="1" x14ac:dyDescent="0.3">
      <c r="B15" s="413" t="s">
        <v>288</v>
      </c>
      <c r="C15" s="34"/>
      <c r="D15" s="34"/>
      <c r="E15" s="34"/>
    </row>
    <row r="16" spans="2:5" ht="91" customHeight="1" thickBot="1" x14ac:dyDescent="0.25">
      <c r="B16" s="246" t="s">
        <v>153</v>
      </c>
    </row>
    <row r="17" spans="2:5" ht="32" customHeight="1" thickBot="1" x14ac:dyDescent="0.3">
      <c r="B17" s="248" t="s">
        <v>186</v>
      </c>
      <c r="C17" s="247" t="s">
        <v>161</v>
      </c>
    </row>
    <row r="18" spans="2:5" ht="32" customHeight="1" x14ac:dyDescent="0.25">
      <c r="B18" s="81" t="s">
        <v>154</v>
      </c>
    </row>
    <row r="19" spans="2:5" ht="20" x14ac:dyDescent="0.25">
      <c r="B19" s="81" t="s">
        <v>187</v>
      </c>
    </row>
    <row r="20" spans="2:5" ht="20" x14ac:dyDescent="0.25">
      <c r="B20" s="81" t="s">
        <v>155</v>
      </c>
    </row>
    <row r="21" spans="2:5" ht="20" x14ac:dyDescent="0.25">
      <c r="B21" s="81" t="s">
        <v>156</v>
      </c>
    </row>
    <row r="22" spans="2:5" ht="20" x14ac:dyDescent="0.25">
      <c r="B22" s="81" t="s">
        <v>157</v>
      </c>
    </row>
    <row r="23" spans="2:5" ht="20" x14ac:dyDescent="0.25">
      <c r="B23" s="81" t="s">
        <v>158</v>
      </c>
    </row>
    <row r="24" spans="2:5" ht="42" customHeight="1" x14ac:dyDescent="0.25">
      <c r="B24" s="82" t="s">
        <v>159</v>
      </c>
    </row>
    <row r="25" spans="2:5" ht="64" customHeight="1" thickBot="1" x14ac:dyDescent="0.25">
      <c r="B25" s="249" t="s">
        <v>160</v>
      </c>
    </row>
    <row r="26" spans="2:5" ht="18" x14ac:dyDescent="0.25">
      <c r="B26" s="251" t="s">
        <v>0</v>
      </c>
      <c r="C26" s="252"/>
      <c r="D26" s="252"/>
      <c r="E26" s="253"/>
    </row>
    <row r="27" spans="2:5" ht="18" customHeight="1" x14ac:dyDescent="0.25">
      <c r="B27" s="254" t="s">
        <v>162</v>
      </c>
      <c r="E27" s="255"/>
    </row>
    <row r="28" spans="2:5" ht="18" customHeight="1" x14ac:dyDescent="0.25">
      <c r="B28" s="256" t="s">
        <v>163</v>
      </c>
      <c r="E28" s="255"/>
    </row>
    <row r="29" spans="2:5" ht="18" customHeight="1" thickBot="1" x14ac:dyDescent="0.3">
      <c r="B29" s="257" t="s">
        <v>1</v>
      </c>
      <c r="C29" s="258"/>
      <c r="D29" s="258"/>
      <c r="E29" s="259"/>
    </row>
    <row r="36" spans="2:2" x14ac:dyDescent="0.2">
      <c r="B36" s="250"/>
    </row>
  </sheetData>
  <sheetProtection algorithmName="SHA-512" hashValue="RB8Ylx8ZB0fxK6oUB0HuuRxC6CPtuzTtYdCCJ5WXJ7yYpqrghfrNbW0b8ed0+yT59eDZhnk/aLZ2f8f7tn+7Pw==" saltValue="8h43YVtCHKPnUHh8JKTdEg==" spinCount="100000" sheet="1" objects="1" scenarios="1"/>
  <pageMargins left="0.75" right="0.75" top="1" bottom="1" header="0.5" footer="0.5"/>
  <pageSetup paperSize="9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92"/>
  <sheetViews>
    <sheetView showGridLines="0" topLeftCell="A11" zoomScale="85" zoomScaleNormal="85" workbookViewId="0">
      <selection activeCell="D36" sqref="D36"/>
    </sheetView>
  </sheetViews>
  <sheetFormatPr baseColWidth="10" defaultColWidth="10.83203125" defaultRowHeight="15" x14ac:dyDescent="0.2"/>
  <cols>
    <col min="1" max="1" width="6.1640625" style="1" customWidth="1"/>
    <col min="2" max="2" width="12" style="1" customWidth="1"/>
    <col min="3" max="3" width="17.83203125" style="1" customWidth="1"/>
    <col min="4" max="4" width="10.83203125" style="1"/>
    <col min="5" max="5" width="14.6640625" style="1" bestFit="1" customWidth="1"/>
    <col min="6" max="12" width="10.83203125" style="1"/>
    <col min="13" max="13" width="10.1640625" style="1" customWidth="1"/>
    <col min="14" max="16384" width="10.83203125" style="1"/>
  </cols>
  <sheetData>
    <row r="2" spans="1:17" ht="24" customHeight="1" x14ac:dyDescent="0.2">
      <c r="B2" s="622" t="s">
        <v>295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1:17" ht="24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7" ht="24" customHeight="1" x14ac:dyDescent="0.2">
      <c r="B4" s="61"/>
      <c r="C4" s="61"/>
      <c r="D4" s="61"/>
      <c r="E4" s="676" t="str">
        <f>+ROUND(C35,1)&amp;""""&amp;" "&amp;F35&amp;" Aspect Ratio"</f>
        <v>133,9" 1,78 Aspect Ratio</v>
      </c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</row>
    <row r="5" spans="1:17" s="34" customFormat="1" ht="24" customHeight="1" x14ac:dyDescent="0.25"/>
    <row r="6" spans="1:17" s="34" customFormat="1" ht="65" customHeight="1" x14ac:dyDescent="0.25">
      <c r="A6" s="546"/>
      <c r="B6" s="59"/>
      <c r="C6" s="59"/>
      <c r="D6" s="59"/>
      <c r="E6" s="673" t="s">
        <v>300</v>
      </c>
      <c r="F6" s="674"/>
      <c r="G6" s="674"/>
      <c r="H6" s="674"/>
      <c r="I6" s="675"/>
      <c r="J6" s="59"/>
      <c r="K6" s="59"/>
      <c r="L6" s="59"/>
    </row>
    <row r="7" spans="1:17" s="34" customFormat="1" ht="24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7" s="34" customFormat="1" ht="24" customHeight="1" x14ac:dyDescent="0.25">
      <c r="B8" s="59"/>
      <c r="C8" s="59"/>
      <c r="D8" s="59"/>
      <c r="E8" s="59"/>
      <c r="F8" s="87">
        <f>F36</f>
        <v>3711</v>
      </c>
      <c r="G8" s="59"/>
      <c r="H8" s="59"/>
      <c r="I8" s="59"/>
      <c r="J8" s="59"/>
      <c r="K8" s="59"/>
      <c r="L8" s="60">
        <f>+D40</f>
        <v>151</v>
      </c>
    </row>
    <row r="9" spans="1:17" s="2" customFormat="1" ht="16" customHeight="1" x14ac:dyDescent="0.3">
      <c r="B9" s="61"/>
      <c r="C9" s="61"/>
      <c r="D9" s="61"/>
      <c r="E9" s="61"/>
      <c r="G9" s="35"/>
      <c r="H9" s="61"/>
      <c r="I9" s="61"/>
      <c r="J9" s="61"/>
      <c r="K9" s="61"/>
      <c r="L9" s="36"/>
    </row>
    <row r="11" spans="1:17" x14ac:dyDescent="0.2">
      <c r="M11" s="37">
        <f>+G36</f>
        <v>149</v>
      </c>
    </row>
    <row r="12" spans="1:17" x14ac:dyDescent="0.2">
      <c r="B12" s="37">
        <f>+F37</f>
        <v>400</v>
      </c>
      <c r="K12" s="38"/>
    </row>
    <row r="14" spans="1:17" x14ac:dyDescent="0.2">
      <c r="B14" s="35"/>
    </row>
    <row r="15" spans="1:17" x14ac:dyDescent="0.2">
      <c r="F15" s="40">
        <f>+D35</f>
        <v>3400</v>
      </c>
    </row>
    <row r="20" spans="2:13" x14ac:dyDescent="0.2">
      <c r="B20" s="37">
        <f>D36</f>
        <v>1910.1123595505617</v>
      </c>
      <c r="F20" s="41"/>
    </row>
    <row r="21" spans="2:13" x14ac:dyDescent="0.2">
      <c r="K21" s="5">
        <f>+D38</f>
        <v>2561.1123595505615</v>
      </c>
      <c r="M21" s="41"/>
    </row>
    <row r="22" spans="2:13" x14ac:dyDescent="0.2">
      <c r="H22" s="40"/>
      <c r="M22" s="31"/>
    </row>
    <row r="23" spans="2:13" ht="34" x14ac:dyDescent="0.2">
      <c r="F23" s="414">
        <f>D39</f>
        <v>3899.8114346860175</v>
      </c>
      <c r="H23" s="41"/>
      <c r="M23" s="5">
        <f>B12+B20+B30</f>
        <v>2412.1123595505615</v>
      </c>
    </row>
    <row r="26" spans="2:13" x14ac:dyDescent="0.2">
      <c r="F26" s="40"/>
    </row>
    <row r="27" spans="2:13" x14ac:dyDescent="0.2">
      <c r="F27" s="41"/>
    </row>
    <row r="28" spans="2:13" x14ac:dyDescent="0.2">
      <c r="F28" s="62"/>
    </row>
    <row r="29" spans="2:13" x14ac:dyDescent="0.2">
      <c r="B29" s="37"/>
      <c r="F29" s="3"/>
    </row>
    <row r="30" spans="2:13" x14ac:dyDescent="0.2">
      <c r="B30" s="37">
        <v>102</v>
      </c>
      <c r="C30" s="80"/>
      <c r="D30" s="80"/>
      <c r="E30" s="80"/>
      <c r="G30" s="80"/>
    </row>
    <row r="32" spans="2:13" x14ac:dyDescent="0.2">
      <c r="F32" s="42">
        <f>F36-50</f>
        <v>3661</v>
      </c>
      <c r="G32" s="35"/>
    </row>
    <row r="33" spans="2:12" ht="16" thickBot="1" x14ac:dyDescent="0.25"/>
    <row r="34" spans="2:12" x14ac:dyDescent="0.2">
      <c r="B34" s="6"/>
      <c r="C34" s="7" t="s">
        <v>3</v>
      </c>
      <c r="D34" s="156" t="s">
        <v>4</v>
      </c>
      <c r="E34" s="9"/>
      <c r="F34" s="583"/>
      <c r="G34" s="584"/>
      <c r="H34" s="9" t="s">
        <v>6</v>
      </c>
      <c r="I34" s="585">
        <f ca="1">NOW()</f>
        <v>46062.500802662034</v>
      </c>
      <c r="J34" s="585"/>
      <c r="K34" s="585"/>
      <c r="L34" s="586"/>
    </row>
    <row r="35" spans="2:12" ht="40" customHeight="1" x14ac:dyDescent="0.2">
      <c r="B35" s="57" t="s">
        <v>7</v>
      </c>
      <c r="C35" s="45">
        <f>D35/F40</f>
        <v>133.85826771653544</v>
      </c>
      <c r="D35" s="269">
        <v>3400</v>
      </c>
      <c r="E35" s="545" t="s">
        <v>8</v>
      </c>
      <c r="F35" s="587">
        <v>1.78</v>
      </c>
      <c r="G35" s="588"/>
      <c r="H35" s="12" t="s">
        <v>9</v>
      </c>
      <c r="I35" s="671"/>
      <c r="J35" s="671"/>
      <c r="K35" s="671"/>
      <c r="L35" s="672"/>
    </row>
    <row r="36" spans="2:12" ht="40" customHeight="1" x14ac:dyDescent="0.2">
      <c r="B36" s="10" t="s">
        <v>10</v>
      </c>
      <c r="C36" s="45">
        <f>+D36/$F$40</f>
        <v>75.201273998053608</v>
      </c>
      <c r="D36" s="128">
        <f>+D35/F35</f>
        <v>1910.1123595505617</v>
      </c>
      <c r="E36" s="12" t="s">
        <v>74</v>
      </c>
      <c r="F36" s="121">
        <f>D35+311</f>
        <v>3711</v>
      </c>
      <c r="G36" s="121">
        <v>149</v>
      </c>
      <c r="H36" s="12" t="s">
        <v>13</v>
      </c>
      <c r="I36" s="619"/>
      <c r="J36" s="620"/>
      <c r="K36" s="620"/>
      <c r="L36" s="621"/>
    </row>
    <row r="37" spans="2:12" ht="40" customHeight="1" x14ac:dyDescent="0.2">
      <c r="B37" s="10" t="s">
        <v>14</v>
      </c>
      <c r="C37" s="45">
        <f>+D37/$F$40</f>
        <v>146.10236220472441</v>
      </c>
      <c r="D37" s="174">
        <f>F36</f>
        <v>3711</v>
      </c>
      <c r="E37" s="12" t="s">
        <v>75</v>
      </c>
      <c r="F37" s="269">
        <v>400</v>
      </c>
      <c r="G37" s="64" t="s">
        <v>307</v>
      </c>
      <c r="H37" s="47"/>
      <c r="L37" s="15"/>
    </row>
    <row r="38" spans="2:12" ht="40" customHeight="1" x14ac:dyDescent="0.2">
      <c r="B38" s="10" t="s">
        <v>18</v>
      </c>
      <c r="C38" s="45">
        <f>+D38/$F$40</f>
        <v>100.83119525789613</v>
      </c>
      <c r="D38" s="174">
        <f>+D36+M11+B12+B30</f>
        <v>2561.1123595505615</v>
      </c>
      <c r="E38" s="12" t="s">
        <v>19</v>
      </c>
      <c r="F38" s="359" t="s">
        <v>144</v>
      </c>
      <c r="G38" s="16" t="s">
        <v>308</v>
      </c>
      <c r="H38" s="52" t="s">
        <v>309</v>
      </c>
      <c r="I38" s="556"/>
      <c r="L38" s="15"/>
    </row>
    <row r="39" spans="2:12" ht="18" customHeight="1" thickBot="1" x14ac:dyDescent="0.25">
      <c r="B39" s="10" t="s">
        <v>21</v>
      </c>
      <c r="C39" s="45">
        <f>+D39/$F$40</f>
        <v>153.53588325535503</v>
      </c>
      <c r="D39" s="174">
        <f>SQRT((D35^2)+(D36^2))</f>
        <v>3899.8114346860175</v>
      </c>
      <c r="E39" s="12" t="s">
        <v>77</v>
      </c>
      <c r="F39" s="128">
        <f>F32</f>
        <v>3661</v>
      </c>
      <c r="G39" s="16"/>
      <c r="H39" s="52" t="s">
        <v>311</v>
      </c>
      <c r="I39" s="556"/>
      <c r="L39" s="15"/>
    </row>
    <row r="40" spans="2:12" ht="18" customHeight="1" thickBot="1" x14ac:dyDescent="0.25">
      <c r="B40" s="17" t="s">
        <v>23</v>
      </c>
      <c r="C40" s="49">
        <f>+D40/$F$40</f>
        <v>5.9448818897637796</v>
      </c>
      <c r="D40" s="172">
        <v>151</v>
      </c>
      <c r="E40" s="18" t="s">
        <v>24</v>
      </c>
      <c r="F40" s="132">
        <v>25.4</v>
      </c>
      <c r="G40" s="19"/>
      <c r="H40" s="554" t="s">
        <v>310</v>
      </c>
      <c r="I40" s="557"/>
      <c r="J40" s="19"/>
      <c r="K40" s="575" t="s">
        <v>47</v>
      </c>
      <c r="L40" s="668"/>
    </row>
    <row r="41" spans="2:12" ht="18" customHeight="1" x14ac:dyDescent="0.2">
      <c r="B41" s="86"/>
      <c r="C41" s="352"/>
      <c r="D41" s="360"/>
      <c r="E41" s="86"/>
      <c r="F41" s="354"/>
      <c r="L41"/>
    </row>
    <row r="42" spans="2:12" ht="18" customHeight="1" thickBot="1" x14ac:dyDescent="0.25">
      <c r="B42" s="86"/>
      <c r="C42" s="352"/>
      <c r="D42" s="360"/>
      <c r="E42" s="86"/>
      <c r="F42" s="354"/>
      <c r="L42"/>
    </row>
    <row r="43" spans="2:12" ht="17" thickBot="1" x14ac:dyDescent="0.25">
      <c r="B43" s="328"/>
      <c r="C43" s="361"/>
      <c r="D43" s="362"/>
      <c r="E43" s="331"/>
      <c r="F43" s="363"/>
      <c r="G43" s="207"/>
      <c r="H43" s="207"/>
      <c r="I43" s="207"/>
      <c r="J43" s="207"/>
      <c r="K43" s="207"/>
      <c r="L43" s="253"/>
    </row>
    <row r="44" spans="2:12" ht="17" thickBot="1" x14ac:dyDescent="0.25">
      <c r="B44" s="608" t="s">
        <v>169</v>
      </c>
      <c r="F44" s="608" t="s">
        <v>182</v>
      </c>
      <c r="L44" s="255"/>
    </row>
    <row r="45" spans="2:12" ht="17" thickBot="1" x14ac:dyDescent="0.25">
      <c r="B45" s="609"/>
      <c r="C45" s="83" t="s">
        <v>313</v>
      </c>
      <c r="D45" s="555" t="s">
        <v>306</v>
      </c>
      <c r="F45" s="609"/>
      <c r="G45" s="83" t="s">
        <v>183</v>
      </c>
      <c r="H45" s="342"/>
      <c r="L45" s="255"/>
    </row>
    <row r="46" spans="2:12" ht="17" thickBot="1" x14ac:dyDescent="0.25">
      <c r="B46" s="610"/>
      <c r="C46" s="83" t="s">
        <v>312</v>
      </c>
      <c r="D46" s="553"/>
      <c r="F46" s="610"/>
      <c r="G46" s="83" t="s">
        <v>184</v>
      </c>
      <c r="H46" s="342" t="s">
        <v>306</v>
      </c>
      <c r="L46" s="255"/>
    </row>
    <row r="47" spans="2:12" ht="16" x14ac:dyDescent="0.2">
      <c r="B47" s="364"/>
      <c r="C47" s="352"/>
      <c r="D47" s="360"/>
      <c r="E47" s="86"/>
      <c r="F47" s="354"/>
      <c r="L47" s="255"/>
    </row>
    <row r="48" spans="2:12" x14ac:dyDescent="0.2">
      <c r="B48" s="209"/>
      <c r="L48" s="15"/>
    </row>
    <row r="49" spans="2:12" ht="16" customHeight="1" x14ac:dyDescent="0.2">
      <c r="B49" s="209"/>
      <c r="C49" s="50" t="s">
        <v>48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2" ht="7" customHeight="1" x14ac:dyDescent="0.2">
      <c r="B50" s="225"/>
      <c r="C50" s="54"/>
      <c r="L50" s="15"/>
    </row>
    <row r="51" spans="2:12" ht="16" customHeight="1" x14ac:dyDescent="0.2">
      <c r="B51" s="209"/>
      <c r="C51" s="51"/>
      <c r="D51" s="30" t="s">
        <v>27</v>
      </c>
      <c r="E51" s="30" t="s">
        <v>3</v>
      </c>
      <c r="F51" s="30" t="s">
        <v>4</v>
      </c>
      <c r="L51" s="15"/>
    </row>
    <row r="52" spans="2:12" ht="16" customHeight="1" x14ac:dyDescent="0.2">
      <c r="B52" s="209"/>
      <c r="C52" s="51" t="s">
        <v>29</v>
      </c>
      <c r="D52" s="53" t="s">
        <v>30</v>
      </c>
      <c r="E52" s="52">
        <v>160</v>
      </c>
      <c r="F52" s="52">
        <f>E52*25.4</f>
        <v>4064</v>
      </c>
      <c r="L52" s="15"/>
    </row>
    <row r="53" spans="2:12" ht="16" customHeight="1" x14ac:dyDescent="0.2">
      <c r="B53" s="209"/>
      <c r="C53" s="51" t="s">
        <v>31</v>
      </c>
      <c r="D53" s="53" t="s">
        <v>49</v>
      </c>
      <c r="E53" s="52">
        <v>160</v>
      </c>
      <c r="F53" s="52">
        <f>E53*25.4</f>
        <v>4064</v>
      </c>
      <c r="H53" s="1" t="s">
        <v>50</v>
      </c>
      <c r="L53" s="15"/>
    </row>
    <row r="54" spans="2:12" ht="16" customHeight="1" x14ac:dyDescent="0.2">
      <c r="B54" s="209"/>
      <c r="C54" s="51"/>
      <c r="D54" s="53"/>
      <c r="E54" s="52"/>
      <c r="F54" s="52"/>
      <c r="L54" s="15"/>
    </row>
    <row r="55" spans="2:12" x14ac:dyDescent="0.2">
      <c r="B55" s="209"/>
      <c r="C55" s="50" t="s">
        <v>33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x14ac:dyDescent="0.2">
      <c r="B56" s="225"/>
      <c r="C56" s="1" t="s">
        <v>78</v>
      </c>
      <c r="L56" s="15"/>
    </row>
    <row r="57" spans="2:12" x14ac:dyDescent="0.2">
      <c r="B57" s="209"/>
      <c r="C57" s="1" t="s">
        <v>79</v>
      </c>
      <c r="L57" s="15"/>
    </row>
    <row r="58" spans="2:12" x14ac:dyDescent="0.2">
      <c r="B58" s="209"/>
      <c r="L58" s="15"/>
    </row>
    <row r="59" spans="2:12" x14ac:dyDescent="0.2">
      <c r="B59" s="209"/>
      <c r="C59" s="50" t="s">
        <v>36</v>
      </c>
      <c r="D59" s="55"/>
      <c r="E59" s="55"/>
      <c r="F59" s="55"/>
      <c r="G59" s="55" t="s">
        <v>80</v>
      </c>
      <c r="H59" s="55"/>
      <c r="I59" s="55"/>
      <c r="J59" s="55"/>
      <c r="K59" s="55"/>
      <c r="L59" s="215"/>
    </row>
    <row r="60" spans="2:12" x14ac:dyDescent="0.2">
      <c r="B60" s="225"/>
      <c r="C60" s="51"/>
      <c r="L60" s="15"/>
    </row>
    <row r="61" spans="2:12" x14ac:dyDescent="0.2">
      <c r="B61" s="209"/>
      <c r="C61" s="220" t="s">
        <v>38</v>
      </c>
      <c r="D61" s="324">
        <f>IF(C30&gt;199,2,1)</f>
        <v>1</v>
      </c>
      <c r="L61" s="15"/>
    </row>
    <row r="62" spans="2:12" ht="14" customHeight="1" x14ac:dyDescent="0.2">
      <c r="B62" s="209"/>
      <c r="C62" s="220" t="s">
        <v>39</v>
      </c>
      <c r="D62" s="271">
        <f>+F36+100</f>
        <v>3811</v>
      </c>
      <c r="E62" s="64" t="s">
        <v>4</v>
      </c>
      <c r="L62" s="15"/>
    </row>
    <row r="63" spans="2:12" x14ac:dyDescent="0.2">
      <c r="B63" s="209"/>
      <c r="C63" s="220" t="s">
        <v>41</v>
      </c>
      <c r="D63" s="272">
        <v>200</v>
      </c>
      <c r="E63" s="64" t="s">
        <v>4</v>
      </c>
      <c r="L63" s="15"/>
    </row>
    <row r="64" spans="2:12" x14ac:dyDescent="0.2">
      <c r="B64" s="209"/>
      <c r="C64" s="220" t="s">
        <v>81</v>
      </c>
      <c r="D64" s="272">
        <v>200</v>
      </c>
      <c r="E64" s="64" t="s">
        <v>4</v>
      </c>
      <c r="L64" s="15"/>
    </row>
    <row r="65" spans="2:12" x14ac:dyDescent="0.2">
      <c r="B65" s="209"/>
      <c r="C65" s="220" t="s">
        <v>43</v>
      </c>
      <c r="D65" s="273">
        <f>IF(C35&lt;140,C35*0.4,C35*0.45)</f>
        <v>53.543307086614178</v>
      </c>
      <c r="E65" s="64" t="s">
        <v>44</v>
      </c>
      <c r="L65" s="15"/>
    </row>
    <row r="66" spans="2:12" x14ac:dyDescent="0.2">
      <c r="B66" s="209"/>
      <c r="L66" s="15"/>
    </row>
    <row r="67" spans="2:12" ht="38" customHeight="1" x14ac:dyDescent="0.2">
      <c r="B67" s="209"/>
      <c r="C67" s="213"/>
      <c r="L67" s="15"/>
    </row>
    <row r="68" spans="2:12" ht="38" customHeight="1" x14ac:dyDescent="0.2">
      <c r="B68" s="209"/>
      <c r="C68" s="213"/>
      <c r="L68" s="15"/>
    </row>
    <row r="69" spans="2:12" ht="38" customHeight="1" x14ac:dyDescent="0.2">
      <c r="B69" s="209"/>
      <c r="C69" s="213"/>
      <c r="L69" s="15"/>
    </row>
    <row r="70" spans="2:12" ht="38" customHeight="1" x14ac:dyDescent="0.2">
      <c r="B70" s="209"/>
      <c r="C70" s="213"/>
      <c r="L70" s="15"/>
    </row>
    <row r="71" spans="2:12" ht="38" customHeight="1" x14ac:dyDescent="0.2">
      <c r="B71" s="209"/>
      <c r="C71" s="213"/>
      <c r="L71" s="15"/>
    </row>
    <row r="72" spans="2:12" x14ac:dyDescent="0.2">
      <c r="B72" s="209"/>
      <c r="C72" s="365"/>
      <c r="L72" s="15"/>
    </row>
    <row r="73" spans="2:12" x14ac:dyDescent="0.2">
      <c r="B73" s="209"/>
      <c r="L73" s="15"/>
    </row>
    <row r="74" spans="2:12" x14ac:dyDescent="0.2">
      <c r="B74" s="209"/>
      <c r="L74" s="15"/>
    </row>
    <row r="75" spans="2:12" x14ac:dyDescent="0.2">
      <c r="B75" s="209"/>
      <c r="L75" s="15"/>
    </row>
    <row r="76" spans="2:12" x14ac:dyDescent="0.2">
      <c r="B76" s="209"/>
      <c r="L76" s="15"/>
    </row>
    <row r="77" spans="2:12" x14ac:dyDescent="0.2">
      <c r="B77" s="209"/>
      <c r="L77" s="15"/>
    </row>
    <row r="78" spans="2:12" x14ac:dyDescent="0.2">
      <c r="B78" s="209"/>
      <c r="L78" s="15"/>
    </row>
    <row r="79" spans="2:12" x14ac:dyDescent="0.2">
      <c r="B79" s="209"/>
      <c r="L79" s="15"/>
    </row>
    <row r="80" spans="2:12" x14ac:dyDescent="0.2">
      <c r="B80" s="209"/>
      <c r="L80" s="15"/>
    </row>
    <row r="81" spans="2:12" x14ac:dyDescent="0.2">
      <c r="B81" s="209"/>
      <c r="L81" s="15"/>
    </row>
    <row r="82" spans="2:12" x14ac:dyDescent="0.2">
      <c r="B82" s="209"/>
      <c r="L82" s="15"/>
    </row>
    <row r="83" spans="2:12" x14ac:dyDescent="0.2">
      <c r="B83" s="209"/>
      <c r="L83" s="15"/>
    </row>
    <row r="84" spans="2:12" x14ac:dyDescent="0.2">
      <c r="B84" s="209"/>
      <c r="L84" s="15"/>
    </row>
    <row r="85" spans="2:12" x14ac:dyDescent="0.2">
      <c r="B85" s="209"/>
      <c r="L85" s="15"/>
    </row>
    <row r="86" spans="2:12" x14ac:dyDescent="0.2">
      <c r="B86" s="209"/>
      <c r="L86" s="15"/>
    </row>
    <row r="87" spans="2:12" x14ac:dyDescent="0.2">
      <c r="B87" s="209"/>
      <c r="L87" s="15"/>
    </row>
    <row r="88" spans="2:12" x14ac:dyDescent="0.2">
      <c r="B88" s="209"/>
      <c r="L88" s="15"/>
    </row>
    <row r="89" spans="2:12" x14ac:dyDescent="0.2">
      <c r="B89" s="209"/>
      <c r="L89" s="15"/>
    </row>
    <row r="90" spans="2:12" x14ac:dyDescent="0.2">
      <c r="B90" s="209"/>
      <c r="L90" s="15"/>
    </row>
    <row r="91" spans="2:12" x14ac:dyDescent="0.2">
      <c r="B91" s="209"/>
      <c r="L91" s="15"/>
    </row>
    <row r="92" spans="2:12" ht="16" thickBot="1" x14ac:dyDescent="0.25">
      <c r="B92" s="217"/>
      <c r="C92" s="19"/>
      <c r="D92" s="19"/>
      <c r="E92" s="19"/>
      <c r="F92" s="19"/>
      <c r="G92" s="19"/>
      <c r="H92" s="19"/>
      <c r="I92" s="19"/>
      <c r="J92" s="19"/>
      <c r="K92" s="19"/>
      <c r="L92" s="28"/>
    </row>
  </sheetData>
  <sheetProtection algorithmName="SHA-512" hashValue="UtWGZBx07y29JK8TI9YVRP+Cn1tIvOus7ZJnamTaeffhg9YgtZjIwtu8SgkGoiv3VoK5lcgEQZEDYK5kLch7rg==" saltValue="sy/btuuAEb5ve5grMdJb9w==" spinCount="100000" sheet="1" objects="1" scenarios="1"/>
  <mergeCells count="11">
    <mergeCell ref="B44:B46"/>
    <mergeCell ref="F44:F46"/>
    <mergeCell ref="K40:L40"/>
    <mergeCell ref="I36:L36"/>
    <mergeCell ref="B2:L2"/>
    <mergeCell ref="F34:G34"/>
    <mergeCell ref="I34:L34"/>
    <mergeCell ref="F35:G35"/>
    <mergeCell ref="I35:L35"/>
    <mergeCell ref="E6:I6"/>
    <mergeCell ref="E4:Q4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59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6FB-6B23-2C4E-834F-3798518FF1EA}">
  <sheetPr>
    <pageSetUpPr fitToPage="1"/>
  </sheetPr>
  <dimension ref="A1:L60"/>
  <sheetViews>
    <sheetView showGridLines="0" topLeftCell="A38" workbookViewId="0">
      <selection activeCell="D31" sqref="D31"/>
    </sheetView>
  </sheetViews>
  <sheetFormatPr baseColWidth="10" defaultColWidth="10.83203125" defaultRowHeight="15" x14ac:dyDescent="0.2"/>
  <cols>
    <col min="1" max="1" width="10" style="1" customWidth="1"/>
    <col min="2" max="2" width="11.33203125" style="1" bestFit="1" customWidth="1"/>
    <col min="3" max="3" width="10.83203125" style="1"/>
    <col min="4" max="4" width="14.6640625" style="1" bestFit="1" customWidth="1"/>
    <col min="5" max="11" width="10.83203125" style="1"/>
    <col min="12" max="12" width="10.1640625" style="1" customWidth="1"/>
    <col min="13" max="16384" width="10.83203125" style="1"/>
  </cols>
  <sheetData>
    <row r="1" spans="1:12" ht="24" customHeight="1" x14ac:dyDescent="0.2">
      <c r="A1" s="622" t="s">
        <v>82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</row>
    <row r="2" spans="1:12" s="34" customFormat="1" ht="24" customHeight="1" x14ac:dyDescent="0.25">
      <c r="A2" s="623" t="str">
        <f>+ROUND(B31,1)&amp;""""&amp;" "&amp;E31&amp;" Aspect Ratio"</f>
        <v>315" 1.78 Aspect Ratio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</row>
    <row r="3" spans="1:12" s="34" customFormat="1" ht="24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60">
        <f>+C36</f>
        <v>305</v>
      </c>
    </row>
    <row r="4" spans="1:12" s="2" customFormat="1" ht="16" customHeight="1" x14ac:dyDescent="0.3">
      <c r="A4" s="61"/>
      <c r="B4" s="61"/>
      <c r="C4" s="61"/>
      <c r="D4" s="61"/>
      <c r="E4" s="30">
        <f>E32</f>
        <v>8440</v>
      </c>
      <c r="F4" s="35">
        <f>+E4/$E$36</f>
        <v>332.28346456692913</v>
      </c>
      <c r="G4" s="61"/>
      <c r="H4" s="61"/>
      <c r="I4" s="61"/>
      <c r="J4" s="61"/>
      <c r="K4" s="36">
        <f>+K3/$E$36</f>
        <v>12.007874015748031</v>
      </c>
    </row>
    <row r="6" spans="1:12" x14ac:dyDescent="0.2">
      <c r="J6" s="37">
        <f>+F32</f>
        <v>320</v>
      </c>
    </row>
    <row r="7" spans="1:12" x14ac:dyDescent="0.2">
      <c r="J7" s="38">
        <f>+J6/E36</f>
        <v>12.598425196850394</v>
      </c>
    </row>
    <row r="8" spans="1:12" x14ac:dyDescent="0.2">
      <c r="A8" s="32">
        <f>+E33</f>
        <v>800</v>
      </c>
    </row>
    <row r="9" spans="1:12" x14ac:dyDescent="0.2">
      <c r="A9" s="35">
        <f>+A8/E36</f>
        <v>31.496062992125985</v>
      </c>
    </row>
    <row r="14" spans="1:12" x14ac:dyDescent="0.2">
      <c r="E14" s="40">
        <f>+C31</f>
        <v>8000</v>
      </c>
    </row>
    <row r="15" spans="1:12" x14ac:dyDescent="0.2">
      <c r="E15" s="41">
        <f>+E14/$E$36</f>
        <v>314.96062992125985</v>
      </c>
      <c r="J15" s="5">
        <f>+C34</f>
        <v>5770.3820224719102</v>
      </c>
      <c r="L15" s="40">
        <f>E21+A8+A24</f>
        <v>5450.3820224719102</v>
      </c>
    </row>
    <row r="16" spans="1:12" x14ac:dyDescent="0.2">
      <c r="J16" s="38">
        <f>+J15/$E$36</f>
        <v>227.18039458550828</v>
      </c>
      <c r="L16" s="41">
        <f>+L15/$E$36</f>
        <v>214.58196938865788</v>
      </c>
    </row>
    <row r="17" spans="1:12" x14ac:dyDescent="0.2">
      <c r="G17" s="40">
        <f>+C35</f>
        <v>9176.0269051435716</v>
      </c>
      <c r="L17" s="31"/>
    </row>
    <row r="18" spans="1:12" x14ac:dyDescent="0.2">
      <c r="G18" s="41">
        <f>+G17/$E$36</f>
        <v>361.260901777306</v>
      </c>
    </row>
    <row r="21" spans="1:12" x14ac:dyDescent="0.2">
      <c r="E21" s="40">
        <f>+C32</f>
        <v>4494.3820224719102</v>
      </c>
    </row>
    <row r="22" spans="1:12" x14ac:dyDescent="0.2">
      <c r="E22" s="41">
        <f>+E21/$E$36</f>
        <v>176.94417411306733</v>
      </c>
    </row>
    <row r="23" spans="1:12" x14ac:dyDescent="0.2">
      <c r="E23" s="62"/>
    </row>
    <row r="24" spans="1:12" x14ac:dyDescent="0.2">
      <c r="A24" s="37">
        <v>156</v>
      </c>
      <c r="E24" s="3"/>
    </row>
    <row r="25" spans="1:12" x14ac:dyDescent="0.2">
      <c r="A25" s="63">
        <f>A24/E36</f>
        <v>6.1417322834645676</v>
      </c>
      <c r="B25" s="80"/>
      <c r="C25" s="80"/>
      <c r="D25" s="80"/>
      <c r="F25" s="80"/>
    </row>
    <row r="27" spans="1:12" x14ac:dyDescent="0.2">
      <c r="E27" s="31">
        <f>E32-60</f>
        <v>8380</v>
      </c>
      <c r="F27" s="35">
        <f>+E27/$E$36</f>
        <v>329.9212598425197</v>
      </c>
      <c r="K27" s="52">
        <v>42</v>
      </c>
    </row>
    <row r="28" spans="1:12" x14ac:dyDescent="0.2">
      <c r="K28" s="35">
        <f>+K27/$E$36</f>
        <v>1.6535433070866143</v>
      </c>
    </row>
    <row r="29" spans="1:12" customFormat="1" ht="17" thickBot="1" x14ac:dyDescent="0.25"/>
    <row r="30" spans="1:12" x14ac:dyDescent="0.2">
      <c r="A30" s="6"/>
      <c r="B30" s="7" t="s">
        <v>3</v>
      </c>
      <c r="C30" s="8" t="s">
        <v>4</v>
      </c>
      <c r="D30" s="9" t="s">
        <v>5</v>
      </c>
      <c r="E30" s="677" t="s">
        <v>73</v>
      </c>
      <c r="F30" s="678"/>
      <c r="G30" s="9" t="s">
        <v>6</v>
      </c>
      <c r="H30" s="585">
        <f ca="1">NOW()</f>
        <v>46062.500802662034</v>
      </c>
      <c r="I30" s="585"/>
      <c r="J30" s="585"/>
      <c r="K30" s="586"/>
    </row>
    <row r="31" spans="1:12" x14ac:dyDescent="0.2">
      <c r="A31" s="57" t="s">
        <v>7</v>
      </c>
      <c r="B31" s="45">
        <f>C31/E36</f>
        <v>314.96062992125985</v>
      </c>
      <c r="C31" s="11">
        <v>8000</v>
      </c>
      <c r="D31" s="58" t="s">
        <v>8</v>
      </c>
      <c r="E31" s="679">
        <v>1.78</v>
      </c>
      <c r="F31" s="680"/>
      <c r="G31" s="12" t="s">
        <v>9</v>
      </c>
      <c r="H31" s="671"/>
      <c r="I31" s="671"/>
      <c r="J31" s="671"/>
      <c r="K31" s="672"/>
    </row>
    <row r="32" spans="1:12" x14ac:dyDescent="0.2">
      <c r="A32" s="10" t="s">
        <v>10</v>
      </c>
      <c r="B32" s="45">
        <f>+C32/$E$36</f>
        <v>176.94417411306733</v>
      </c>
      <c r="C32" s="23">
        <f>+C31/E31</f>
        <v>4494.3820224719102</v>
      </c>
      <c r="D32" s="12" t="s">
        <v>74</v>
      </c>
      <c r="E32" s="13">
        <f>C31+440</f>
        <v>8440</v>
      </c>
      <c r="F32" s="13">
        <f>IF(B31&gt;160, 320, 145)</f>
        <v>320</v>
      </c>
      <c r="G32" s="12" t="s">
        <v>13</v>
      </c>
      <c r="H32" s="619"/>
      <c r="I32" s="620"/>
      <c r="J32" s="620"/>
      <c r="K32" s="621"/>
    </row>
    <row r="33" spans="1:11" x14ac:dyDescent="0.2">
      <c r="A33" s="10" t="s">
        <v>14</v>
      </c>
      <c r="B33" s="45">
        <f>+C33/$E$36</f>
        <v>332.28346456692913</v>
      </c>
      <c r="C33" s="24">
        <f>E32</f>
        <v>8440</v>
      </c>
      <c r="D33" s="12" t="s">
        <v>75</v>
      </c>
      <c r="E33" s="13">
        <v>800</v>
      </c>
      <c r="F33" s="64" t="s">
        <v>83</v>
      </c>
      <c r="G33" s="47"/>
      <c r="K33" s="15"/>
    </row>
    <row r="34" spans="1:11" x14ac:dyDescent="0.2">
      <c r="A34" s="10" t="s">
        <v>18</v>
      </c>
      <c r="B34" s="45">
        <f>+C34/$E$36</f>
        <v>227.18039458550828</v>
      </c>
      <c r="C34" s="24">
        <f>+C32+J6+A8+A24</f>
        <v>5770.3820224719102</v>
      </c>
      <c r="D34" s="12" t="s">
        <v>19</v>
      </c>
      <c r="E34" s="48" t="s">
        <v>76</v>
      </c>
      <c r="F34" s="16"/>
      <c r="K34" s="15"/>
    </row>
    <row r="35" spans="1:11" x14ac:dyDescent="0.2">
      <c r="A35" s="10" t="s">
        <v>21</v>
      </c>
      <c r="B35" s="45">
        <f>+C35/$E$36</f>
        <v>361.260901777306</v>
      </c>
      <c r="C35" s="24">
        <f>SQRT((C31^2)+(C32^2))</f>
        <v>9176.0269051435716</v>
      </c>
      <c r="D35" s="12" t="s">
        <v>77</v>
      </c>
      <c r="E35" s="23">
        <f>E27</f>
        <v>8380</v>
      </c>
      <c r="F35" s="16"/>
      <c r="K35" s="15"/>
    </row>
    <row r="36" spans="1:11" ht="16" thickBot="1" x14ac:dyDescent="0.25">
      <c r="A36" s="17" t="s">
        <v>23</v>
      </c>
      <c r="B36" s="49">
        <f>+C36/$E$36</f>
        <v>12.007874015748031</v>
      </c>
      <c r="C36" s="13">
        <f>IF(B31&gt;160, 305, 147)</f>
        <v>305</v>
      </c>
      <c r="D36" s="18" t="s">
        <v>24</v>
      </c>
      <c r="E36" s="27">
        <v>25.4</v>
      </c>
      <c r="F36" s="19"/>
      <c r="G36" s="19"/>
      <c r="H36" s="19"/>
      <c r="I36" s="19"/>
      <c r="J36" s="19"/>
      <c r="K36" s="28" t="s">
        <v>67</v>
      </c>
    </row>
    <row r="38" spans="1:11" ht="16" customHeight="1" x14ac:dyDescent="0.2">
      <c r="B38" s="50" t="s">
        <v>48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7" customHeight="1" x14ac:dyDescent="0.2">
      <c r="B39" s="54"/>
    </row>
    <row r="40" spans="1:11" ht="16" customHeight="1" x14ac:dyDescent="0.2">
      <c r="B40" s="51"/>
      <c r="C40" s="30" t="s">
        <v>27</v>
      </c>
      <c r="D40" s="30" t="s">
        <v>3</v>
      </c>
      <c r="E40" s="30" t="s">
        <v>4</v>
      </c>
    </row>
    <row r="41" spans="1:11" ht="16" customHeight="1" x14ac:dyDescent="0.2">
      <c r="B41" s="51" t="s">
        <v>29</v>
      </c>
      <c r="C41" s="53" t="s">
        <v>30</v>
      </c>
      <c r="D41" s="52">
        <v>320</v>
      </c>
      <c r="E41" s="52">
        <f>D41*25.4</f>
        <v>8128</v>
      </c>
    </row>
    <row r="42" spans="1:11" ht="16" customHeight="1" x14ac:dyDescent="0.2">
      <c r="B42" s="51" t="s">
        <v>31</v>
      </c>
      <c r="C42" s="53" t="s">
        <v>49</v>
      </c>
      <c r="D42" s="52">
        <v>320</v>
      </c>
      <c r="E42" s="52">
        <f>D42*25.4</f>
        <v>8128</v>
      </c>
      <c r="G42" s="1" t="s">
        <v>50</v>
      </c>
    </row>
    <row r="43" spans="1:11" ht="16" customHeight="1" x14ac:dyDescent="0.2">
      <c r="B43" s="51"/>
      <c r="C43" s="53"/>
      <c r="D43" s="52"/>
      <c r="E43" s="52"/>
    </row>
    <row r="44" spans="1:11" x14ac:dyDescent="0.2">
      <c r="B44" s="50" t="s">
        <v>33</v>
      </c>
      <c r="C44" s="55"/>
      <c r="D44" s="55"/>
      <c r="E44" s="55"/>
      <c r="F44" s="55"/>
      <c r="G44" s="55"/>
      <c r="H44" s="55"/>
      <c r="I44" s="55"/>
      <c r="J44" s="55"/>
      <c r="K44" s="55"/>
    </row>
    <row r="45" spans="1:11" x14ac:dyDescent="0.2">
      <c r="B45" s="1" t="s">
        <v>78</v>
      </c>
    </row>
    <row r="46" spans="1:11" x14ac:dyDescent="0.2">
      <c r="B46" s="1" t="s">
        <v>79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IF(B25&gt;199,2,1)</f>
        <v>1</v>
      </c>
    </row>
    <row r="50" spans="2:4" ht="14" customHeight="1" x14ac:dyDescent="0.2">
      <c r="B50" s="83" t="s">
        <v>39</v>
      </c>
      <c r="C50" s="84">
        <f>+E32+100</f>
        <v>8540</v>
      </c>
      <c r="D50" s="64" t="s">
        <v>4</v>
      </c>
    </row>
    <row r="51" spans="2:4" x14ac:dyDescent="0.2">
      <c r="B51" s="83" t="s">
        <v>41</v>
      </c>
      <c r="C51" s="85">
        <v>350</v>
      </c>
      <c r="D51" s="64" t="s">
        <v>4</v>
      </c>
    </row>
    <row r="52" spans="2:4" x14ac:dyDescent="0.2">
      <c r="B52" s="83" t="s">
        <v>81</v>
      </c>
      <c r="C52" s="85">
        <v>350</v>
      </c>
      <c r="D52" s="64" t="s">
        <v>4</v>
      </c>
    </row>
    <row r="53" spans="2:4" x14ac:dyDescent="0.2">
      <c r="B53" s="83" t="s">
        <v>43</v>
      </c>
      <c r="C53" s="42">
        <f>IF(B31&lt;140,B31*0.4,B31*0.45)</f>
        <v>141.73228346456693</v>
      </c>
      <c r="D53" s="64" t="s">
        <v>44</v>
      </c>
    </row>
    <row r="55" spans="2:4" ht="38" customHeight="1" x14ac:dyDescent="0.2">
      <c r="B55" s="20"/>
    </row>
    <row r="56" spans="2:4" ht="38" customHeight="1" x14ac:dyDescent="0.2">
      <c r="B56" s="20"/>
    </row>
    <row r="57" spans="2:4" ht="38" customHeight="1" x14ac:dyDescent="0.2">
      <c r="B57" s="20"/>
    </row>
    <row r="58" spans="2:4" ht="38" customHeight="1" x14ac:dyDescent="0.2">
      <c r="B58" s="20"/>
    </row>
    <row r="59" spans="2:4" ht="38" customHeight="1" x14ac:dyDescent="0.2">
      <c r="B59" s="20"/>
    </row>
    <row r="60" spans="2:4" x14ac:dyDescent="0.2">
      <c r="B60" s="21"/>
    </row>
  </sheetData>
  <mergeCells count="7">
    <mergeCell ref="H32:K32"/>
    <mergeCell ref="A1:K1"/>
    <mergeCell ref="A2:K2"/>
    <mergeCell ref="E30:F30"/>
    <mergeCell ref="H30:K30"/>
    <mergeCell ref="E31:F31"/>
    <mergeCell ref="H31:K31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96"/>
  <sheetViews>
    <sheetView showGridLines="0" tabSelected="1" zoomScaleNormal="100" workbookViewId="0">
      <selection activeCell="D35" sqref="D35"/>
    </sheetView>
  </sheetViews>
  <sheetFormatPr baseColWidth="10" defaultColWidth="10.83203125" defaultRowHeight="15" x14ac:dyDescent="0.2"/>
  <cols>
    <col min="1" max="1" width="10.83203125" style="1"/>
    <col min="2" max="2" width="11.83203125" style="1" customWidth="1"/>
    <col min="3" max="3" width="15.1640625" style="1" customWidth="1"/>
    <col min="4" max="4" width="10.83203125" style="1"/>
    <col min="5" max="5" width="14.6640625" style="1" bestFit="1" customWidth="1"/>
    <col min="6" max="11" width="10.83203125" style="1"/>
    <col min="12" max="12" width="12" style="1" bestFit="1" customWidth="1"/>
    <col min="13" max="16384" width="10.83203125" style="1"/>
  </cols>
  <sheetData>
    <row r="1" spans="2:15" ht="27" customHeight="1" x14ac:dyDescent="0.2">
      <c r="B1" s="622" t="s">
        <v>296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5" s="34" customFormat="1" ht="27" customHeight="1" x14ac:dyDescent="0.25">
      <c r="B2" s="623" t="str">
        <f>+ROUND(C34,1)&amp;""""&amp;" "&amp;F34&amp;" Aspect Ratio"</f>
        <v>157,5" 1,78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2:15" customFormat="1" ht="16" x14ac:dyDescent="0.2">
      <c r="L3" s="1"/>
    </row>
    <row r="4" spans="2:15" customFormat="1" ht="16" x14ac:dyDescent="0.2">
      <c r="L4" s="1"/>
    </row>
    <row r="5" spans="2:15" customFormat="1" ht="16" x14ac:dyDescent="0.2">
      <c r="L5" s="60">
        <f>+D39</f>
        <v>145</v>
      </c>
    </row>
    <row r="6" spans="2:15" customFormat="1" ht="16" x14ac:dyDescent="0.2">
      <c r="F6" s="30">
        <f>F35</f>
        <v>4330</v>
      </c>
      <c r="G6" s="35"/>
      <c r="L6" s="1"/>
    </row>
    <row r="7" spans="2:15" s="34" customFormat="1" ht="20" x14ac:dyDescent="0.25">
      <c r="B7" s="59"/>
      <c r="C7" s="59"/>
      <c r="D7" s="59"/>
      <c r="E7" s="59"/>
      <c r="H7" s="59"/>
      <c r="I7" s="59"/>
      <c r="J7" s="59"/>
      <c r="K7" s="59"/>
      <c r="L7" s="36"/>
    </row>
    <row r="8" spans="2:15" s="2" customFormat="1" ht="16" customHeight="1" x14ac:dyDescent="0.3">
      <c r="B8" s="415"/>
      <c r="C8" s="61"/>
      <c r="D8" s="61"/>
      <c r="E8" s="61"/>
      <c r="H8" s="61"/>
      <c r="I8" s="61"/>
      <c r="J8" s="61"/>
      <c r="K8" s="37">
        <f>+G35</f>
        <v>136</v>
      </c>
    </row>
    <row r="10" spans="2:15" x14ac:dyDescent="0.2">
      <c r="K10" s="38"/>
    </row>
    <row r="12" spans="2:15" x14ac:dyDescent="0.2">
      <c r="B12" s="32">
        <f>+F36</f>
        <v>500</v>
      </c>
    </row>
    <row r="13" spans="2:15" x14ac:dyDescent="0.2">
      <c r="B13" s="35"/>
    </row>
    <row r="15" spans="2:15" x14ac:dyDescent="0.2">
      <c r="F15" s="733">
        <f>D34</f>
        <v>4000</v>
      </c>
      <c r="O15" s="202"/>
    </row>
    <row r="16" spans="2:15" x14ac:dyDescent="0.2">
      <c r="F16" s="60"/>
    </row>
    <row r="17" spans="2:13" x14ac:dyDescent="0.2">
      <c r="F17" s="39"/>
    </row>
    <row r="19" spans="2:13" x14ac:dyDescent="0.2">
      <c r="K19" s="5">
        <f>+D37</f>
        <v>2985.1910112359551</v>
      </c>
      <c r="M19" s="40">
        <f>B20+B12+B28</f>
        <v>2849.1910112359551</v>
      </c>
    </row>
    <row r="20" spans="2:13" x14ac:dyDescent="0.2">
      <c r="B20" s="60">
        <f>+D35</f>
        <v>2247.1910112359551</v>
      </c>
      <c r="K20" s="38"/>
      <c r="M20" s="41"/>
    </row>
    <row r="21" spans="2:13" ht="32" x14ac:dyDescent="0.2">
      <c r="D21" s="38"/>
      <c r="G21" s="734">
        <f>+D38</f>
        <v>4588.0134525717858</v>
      </c>
    </row>
    <row r="23" spans="2:13" x14ac:dyDescent="0.2">
      <c r="G23" s="38"/>
    </row>
    <row r="27" spans="2:13" x14ac:dyDescent="0.2">
      <c r="F27" s="62"/>
    </row>
    <row r="28" spans="2:13" x14ac:dyDescent="0.2">
      <c r="B28" s="32">
        <v>102</v>
      </c>
      <c r="F28" s="3"/>
    </row>
    <row r="30" spans="2:13" x14ac:dyDescent="0.2">
      <c r="B30" s="63"/>
    </row>
    <row r="31" spans="2:13" x14ac:dyDescent="0.2">
      <c r="F31" s="44"/>
      <c r="G31" s="36"/>
    </row>
    <row r="32" spans="2:13" ht="16" thickBot="1" x14ac:dyDescent="0.25"/>
    <row r="33" spans="2:12" x14ac:dyDescent="0.2">
      <c r="B33" s="6"/>
      <c r="C33" s="7" t="s">
        <v>3</v>
      </c>
      <c r="D33" s="156" t="s">
        <v>4</v>
      </c>
      <c r="E33" s="9" t="s">
        <v>5</v>
      </c>
      <c r="F33" s="583" t="s">
        <v>73</v>
      </c>
      <c r="G33" s="584"/>
      <c r="H33" s="9" t="s">
        <v>6</v>
      </c>
      <c r="I33" s="585">
        <f ca="1">NOW()</f>
        <v>46062.500802662034</v>
      </c>
      <c r="J33" s="585"/>
      <c r="K33" s="585"/>
      <c r="L33" s="586"/>
    </row>
    <row r="34" spans="2:12" ht="40" customHeight="1" x14ac:dyDescent="0.2">
      <c r="B34" s="150" t="s">
        <v>7</v>
      </c>
      <c r="C34" s="173">
        <f t="shared" ref="C34:C39" si="0">+D34/$F$39</f>
        <v>157.48031496062993</v>
      </c>
      <c r="D34" s="269">
        <v>4000</v>
      </c>
      <c r="E34" s="152" t="s">
        <v>8</v>
      </c>
      <c r="F34" s="587">
        <v>1.78</v>
      </c>
      <c r="G34" s="588"/>
      <c r="H34" s="153" t="s">
        <v>9</v>
      </c>
      <c r="I34" s="626"/>
      <c r="J34" s="626"/>
      <c r="K34" s="626"/>
      <c r="L34" s="627"/>
    </row>
    <row r="35" spans="2:12" ht="40" customHeight="1" x14ac:dyDescent="0.2">
      <c r="B35" s="10" t="s">
        <v>10</v>
      </c>
      <c r="C35" s="45">
        <f t="shared" si="0"/>
        <v>88.472087056533667</v>
      </c>
      <c r="D35" s="23">
        <f>+D34/F34</f>
        <v>2247.1910112359551</v>
      </c>
      <c r="E35" s="12" t="s">
        <v>74</v>
      </c>
      <c r="F35" s="13">
        <f>D34+330</f>
        <v>4330</v>
      </c>
      <c r="G35" s="13">
        <v>136</v>
      </c>
      <c r="H35" s="12" t="s">
        <v>13</v>
      </c>
      <c r="I35" s="619"/>
      <c r="J35" s="620"/>
      <c r="K35" s="620"/>
      <c r="L35" s="621"/>
    </row>
    <row r="36" spans="2:12" ht="40" customHeight="1" x14ac:dyDescent="0.2">
      <c r="B36" s="10" t="s">
        <v>14</v>
      </c>
      <c r="C36" s="45">
        <f t="shared" si="0"/>
        <v>170.4724409448819</v>
      </c>
      <c r="D36" s="24">
        <f>F35</f>
        <v>4330</v>
      </c>
      <c r="E36" s="12" t="s">
        <v>75</v>
      </c>
      <c r="F36" s="269">
        <v>500</v>
      </c>
      <c r="G36" s="46" t="s">
        <v>84</v>
      </c>
      <c r="H36" s="47"/>
      <c r="I36" s="64"/>
      <c r="L36" s="15"/>
    </row>
    <row r="37" spans="2:12" ht="40" customHeight="1" x14ac:dyDescent="0.2">
      <c r="B37" s="10" t="s">
        <v>18</v>
      </c>
      <c r="C37" s="45">
        <f t="shared" si="0"/>
        <v>117.52720516676989</v>
      </c>
      <c r="D37" s="24">
        <f>+D35+K8+B12+102</f>
        <v>2985.1910112359551</v>
      </c>
      <c r="E37" s="12" t="s">
        <v>19</v>
      </c>
      <c r="F37" s="359" t="s">
        <v>76</v>
      </c>
      <c r="G37" s="16" t="s">
        <v>308</v>
      </c>
      <c r="H37" s="52" t="s">
        <v>309</v>
      </c>
      <c r="I37" s="556"/>
      <c r="L37" s="15"/>
    </row>
    <row r="38" spans="2:12" ht="18" customHeight="1" thickBot="1" x14ac:dyDescent="0.25">
      <c r="B38" s="10" t="s">
        <v>21</v>
      </c>
      <c r="C38" s="45">
        <f t="shared" si="0"/>
        <v>180.630450888653</v>
      </c>
      <c r="D38" s="24">
        <f>SQRT((D34^2)+(D35^2))</f>
        <v>4588.0134525717858</v>
      </c>
      <c r="E38" s="12" t="s">
        <v>77</v>
      </c>
      <c r="F38" s="23">
        <f>D36-50</f>
        <v>4280</v>
      </c>
      <c r="G38" s="16"/>
      <c r="H38" s="52" t="s">
        <v>311</v>
      </c>
      <c r="I38" s="556"/>
      <c r="L38" s="15"/>
    </row>
    <row r="39" spans="2:12" ht="18" customHeight="1" thickBot="1" x14ac:dyDescent="0.25">
      <c r="B39" s="17" t="s">
        <v>23</v>
      </c>
      <c r="C39" s="49">
        <f t="shared" si="0"/>
        <v>5.7086614173228352</v>
      </c>
      <c r="D39" s="26">
        <v>145</v>
      </c>
      <c r="E39" s="18" t="s">
        <v>24</v>
      </c>
      <c r="F39" s="27">
        <v>25.4</v>
      </c>
      <c r="G39" s="19"/>
      <c r="H39" s="554" t="s">
        <v>310</v>
      </c>
      <c r="I39" s="557"/>
      <c r="J39" s="19"/>
      <c r="K39" s="686" t="s">
        <v>67</v>
      </c>
      <c r="L39" s="687"/>
    </row>
    <row r="40" spans="2:12" ht="18" customHeight="1" thickBot="1" x14ac:dyDescent="0.25">
      <c r="B40" s="86"/>
      <c r="C40" s="352"/>
      <c r="D40" s="420"/>
      <c r="E40" s="86"/>
      <c r="F40" s="421"/>
      <c r="L40" s="64"/>
    </row>
    <row r="41" spans="2:12" ht="16" thickBot="1" x14ac:dyDescent="0.25">
      <c r="B41" s="205"/>
      <c r="C41" s="207"/>
      <c r="D41" s="207"/>
      <c r="E41" s="207"/>
      <c r="F41" s="207"/>
      <c r="G41" s="207"/>
      <c r="H41" s="207"/>
      <c r="I41" s="207"/>
      <c r="J41" s="207"/>
      <c r="K41" s="207"/>
      <c r="L41" s="208"/>
    </row>
    <row r="42" spans="2:12" ht="16" thickBot="1" x14ac:dyDescent="0.25">
      <c r="B42" s="608" t="s">
        <v>169</v>
      </c>
      <c r="F42" s="684"/>
      <c r="L42" s="15"/>
    </row>
    <row r="43" spans="2:12" ht="16" thickBot="1" x14ac:dyDescent="0.25">
      <c r="B43" s="609"/>
      <c r="C43" s="83" t="s">
        <v>314</v>
      </c>
      <c r="D43" s="553"/>
      <c r="F43" s="685"/>
      <c r="G43" s="83"/>
      <c r="H43" s="422"/>
      <c r="L43" s="15"/>
    </row>
    <row r="44" spans="2:12" ht="16" thickBot="1" x14ac:dyDescent="0.25">
      <c r="B44" s="610"/>
      <c r="C44" s="83" t="s">
        <v>315</v>
      </c>
      <c r="D44" s="553"/>
      <c r="F44" s="685"/>
      <c r="G44" s="83"/>
      <c r="H44" s="422"/>
      <c r="I44" s="423"/>
      <c r="L44" s="15"/>
    </row>
    <row r="45" spans="2:12" x14ac:dyDescent="0.2">
      <c r="B45" s="209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L47" s="15"/>
    </row>
    <row r="48" spans="2:12" ht="16" customHeight="1" x14ac:dyDescent="0.2">
      <c r="B48" s="209"/>
      <c r="C48" s="219"/>
      <c r="D48" s="322" t="s">
        <v>27</v>
      </c>
      <c r="E48" s="322" t="s">
        <v>3</v>
      </c>
      <c r="F48" s="322" t="s">
        <v>4</v>
      </c>
      <c r="L48" s="15"/>
    </row>
    <row r="49" spans="2:12" ht="16" customHeight="1" x14ac:dyDescent="0.2">
      <c r="B49" s="209"/>
      <c r="C49" s="219" t="s">
        <v>29</v>
      </c>
      <c r="D49" s="323" t="s">
        <v>30</v>
      </c>
      <c r="E49" s="144">
        <v>160</v>
      </c>
      <c r="F49" s="144">
        <f>E49*25.4</f>
        <v>4064</v>
      </c>
      <c r="L49" s="15"/>
    </row>
    <row r="50" spans="2:12" ht="16" customHeight="1" x14ac:dyDescent="0.2">
      <c r="B50" s="209"/>
      <c r="C50" s="219" t="s">
        <v>31</v>
      </c>
      <c r="D50" s="323" t="s">
        <v>49</v>
      </c>
      <c r="E50" s="144">
        <v>160</v>
      </c>
      <c r="F50" s="144">
        <f>E50*25.4</f>
        <v>4064</v>
      </c>
      <c r="H50" s="1" t="s">
        <v>50</v>
      </c>
      <c r="L50" s="15"/>
    </row>
    <row r="51" spans="2:12" ht="16" customHeight="1" x14ac:dyDescent="0.2">
      <c r="B51" s="209"/>
      <c r="C51" s="51"/>
      <c r="D51" s="53"/>
      <c r="E51" s="52"/>
      <c r="F51" s="52"/>
      <c r="L51" s="15"/>
    </row>
    <row r="52" spans="2:12" x14ac:dyDescent="0.2">
      <c r="B52" s="209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2" x14ac:dyDescent="0.2">
      <c r="B53" s="225"/>
      <c r="C53" s="1" t="s">
        <v>78</v>
      </c>
      <c r="L53" s="15"/>
    </row>
    <row r="54" spans="2:12" x14ac:dyDescent="0.2">
      <c r="B54" s="209"/>
      <c r="C54" s="1" t="s">
        <v>79</v>
      </c>
      <c r="L54" s="15"/>
    </row>
    <row r="55" spans="2:12" x14ac:dyDescent="0.2">
      <c r="B55" s="209"/>
      <c r="L55" s="15"/>
    </row>
    <row r="56" spans="2:12" x14ac:dyDescent="0.2">
      <c r="B56" s="209"/>
      <c r="C56" s="50" t="s">
        <v>36</v>
      </c>
      <c r="D56" s="55"/>
      <c r="E56" s="55"/>
      <c r="F56" s="55"/>
      <c r="G56" s="55" t="s">
        <v>80</v>
      </c>
      <c r="H56" s="55"/>
      <c r="I56" s="55"/>
      <c r="J56" s="55"/>
      <c r="K56" s="55"/>
      <c r="L56" s="215"/>
    </row>
    <row r="57" spans="2:12" x14ac:dyDescent="0.2">
      <c r="B57" s="225"/>
      <c r="C57" s="51"/>
      <c r="L57" s="15"/>
    </row>
    <row r="58" spans="2:12" x14ac:dyDescent="0.2">
      <c r="B58" s="209"/>
      <c r="C58" s="220" t="s">
        <v>38</v>
      </c>
      <c r="D58" s="324">
        <f>IF(C29&gt;199,2,1)</f>
        <v>1</v>
      </c>
      <c r="E58" s="143"/>
      <c r="L58" s="15"/>
    </row>
    <row r="59" spans="2:12" ht="14" customHeight="1" x14ac:dyDescent="0.2">
      <c r="B59" s="209"/>
      <c r="C59" s="220" t="s">
        <v>39</v>
      </c>
      <c r="D59" s="418">
        <f>+F35+100</f>
        <v>4430</v>
      </c>
      <c r="E59" s="324" t="s">
        <v>4</v>
      </c>
      <c r="L59" s="15"/>
    </row>
    <row r="60" spans="2:12" x14ac:dyDescent="0.2">
      <c r="B60" s="209"/>
      <c r="C60" s="220" t="s">
        <v>41</v>
      </c>
      <c r="D60" s="419">
        <v>200</v>
      </c>
      <c r="E60" s="324" t="s">
        <v>4</v>
      </c>
      <c r="L60" s="15"/>
    </row>
    <row r="61" spans="2:12" x14ac:dyDescent="0.2">
      <c r="B61" s="209"/>
      <c r="C61" s="220" t="s">
        <v>81</v>
      </c>
      <c r="D61" s="419">
        <v>200</v>
      </c>
      <c r="E61" s="324" t="s">
        <v>4</v>
      </c>
      <c r="L61" s="15"/>
    </row>
    <row r="62" spans="2:12" x14ac:dyDescent="0.2">
      <c r="B62" s="209"/>
      <c r="C62" s="220" t="s">
        <v>43</v>
      </c>
      <c r="D62" s="273">
        <f>IF(C34&lt;140,C34*0.4,C34*0.45)</f>
        <v>70.866141732283467</v>
      </c>
      <c r="E62" s="324" t="s">
        <v>44</v>
      </c>
      <c r="L62" s="15"/>
    </row>
    <row r="63" spans="2:12" x14ac:dyDescent="0.2">
      <c r="B63" s="209"/>
      <c r="C63" s="517"/>
      <c r="L63" s="15"/>
    </row>
    <row r="64" spans="2:12" x14ac:dyDescent="0.2">
      <c r="B64" s="209"/>
      <c r="C64" s="365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x14ac:dyDescent="0.2">
      <c r="B67" s="209"/>
      <c r="L67" s="15"/>
    </row>
    <row r="68" spans="2:12" ht="20" x14ac:dyDescent="0.2">
      <c r="B68" s="681" t="s">
        <v>85</v>
      </c>
      <c r="C68" s="682"/>
      <c r="D68" s="682"/>
      <c r="E68" s="682"/>
      <c r="F68" s="682"/>
      <c r="G68" s="682"/>
      <c r="H68" s="682"/>
      <c r="I68" s="682"/>
      <c r="J68" s="682"/>
      <c r="K68" s="682"/>
      <c r="L68" s="683"/>
    </row>
    <row r="69" spans="2:12" x14ac:dyDescent="0.2">
      <c r="B69" s="209"/>
      <c r="L69" s="15"/>
    </row>
    <row r="70" spans="2:12" x14ac:dyDescent="0.2">
      <c r="B70" s="209"/>
      <c r="L70" s="15"/>
    </row>
    <row r="71" spans="2:12" x14ac:dyDescent="0.2">
      <c r="B71" s="209"/>
      <c r="L71" s="15"/>
    </row>
    <row r="72" spans="2:12" x14ac:dyDescent="0.2">
      <c r="B72" s="209"/>
      <c r="L72" s="15"/>
    </row>
    <row r="73" spans="2:12" x14ac:dyDescent="0.2">
      <c r="B73" s="209"/>
      <c r="L73" s="15"/>
    </row>
    <row r="74" spans="2:12" ht="18" x14ac:dyDescent="0.2">
      <c r="B74" s="209"/>
      <c r="I74" s="547"/>
      <c r="L74" s="15"/>
    </row>
    <row r="75" spans="2:12" x14ac:dyDescent="0.2">
      <c r="B75" s="209"/>
      <c r="C75" s="548">
        <v>145</v>
      </c>
      <c r="L75" s="15"/>
    </row>
    <row r="76" spans="2:12" x14ac:dyDescent="0.2">
      <c r="B76" s="209"/>
      <c r="L76" s="15"/>
    </row>
    <row r="77" spans="2:12" ht="19" x14ac:dyDescent="0.25">
      <c r="B77" s="209"/>
      <c r="L77" s="549"/>
    </row>
    <row r="78" spans="2:12" ht="19" x14ac:dyDescent="0.25">
      <c r="B78" s="209"/>
      <c r="L78" s="549"/>
    </row>
    <row r="79" spans="2:12" ht="19" x14ac:dyDescent="0.25">
      <c r="B79" s="550">
        <v>136</v>
      </c>
      <c r="L79" s="549"/>
    </row>
    <row r="80" spans="2:12" ht="19" x14ac:dyDescent="0.25">
      <c r="B80" s="209"/>
      <c r="L80" s="549"/>
    </row>
    <row r="81" spans="2:12" x14ac:dyDescent="0.2">
      <c r="B81" s="209"/>
      <c r="L81" s="15"/>
    </row>
    <row r="82" spans="2:12" x14ac:dyDescent="0.2">
      <c r="B82" s="209"/>
      <c r="L82" s="15"/>
    </row>
    <row r="83" spans="2:12" x14ac:dyDescent="0.2">
      <c r="B83" s="209"/>
      <c r="L83" s="15"/>
    </row>
    <row r="84" spans="2:12" x14ac:dyDescent="0.2">
      <c r="B84" s="209"/>
      <c r="C84" s="52">
        <v>175</v>
      </c>
      <c r="L84" s="15"/>
    </row>
    <row r="85" spans="2:12" x14ac:dyDescent="0.2">
      <c r="B85" s="209"/>
      <c r="L85" s="15"/>
    </row>
    <row r="86" spans="2:12" x14ac:dyDescent="0.2">
      <c r="B86" s="209"/>
      <c r="L86" s="15"/>
    </row>
    <row r="87" spans="2:12" x14ac:dyDescent="0.2">
      <c r="B87" s="209"/>
      <c r="L87" s="15"/>
    </row>
    <row r="88" spans="2:12" x14ac:dyDescent="0.2">
      <c r="B88" s="209"/>
      <c r="L88" s="15"/>
    </row>
    <row r="89" spans="2:12" x14ac:dyDescent="0.2">
      <c r="B89" s="209"/>
      <c r="L89" s="15"/>
    </row>
    <row r="90" spans="2:12" x14ac:dyDescent="0.2">
      <c r="B90" s="209"/>
      <c r="L90" s="15"/>
    </row>
    <row r="91" spans="2:12" x14ac:dyDescent="0.2">
      <c r="B91" s="209"/>
      <c r="L91" s="15"/>
    </row>
    <row r="92" spans="2:12" x14ac:dyDescent="0.2">
      <c r="B92" s="209"/>
      <c r="L92" s="15"/>
    </row>
    <row r="93" spans="2:12" x14ac:dyDescent="0.2">
      <c r="B93" s="209"/>
      <c r="L93" s="15"/>
    </row>
    <row r="94" spans="2:12" x14ac:dyDescent="0.2">
      <c r="B94" s="209"/>
      <c r="L94" s="15"/>
    </row>
    <row r="95" spans="2:12" x14ac:dyDescent="0.2">
      <c r="B95" s="209"/>
      <c r="L95" s="15"/>
    </row>
    <row r="96" spans="2:12" ht="16" thickBot="1" x14ac:dyDescent="0.25">
      <c r="B96" s="217"/>
      <c r="C96" s="19"/>
      <c r="D96" s="19"/>
      <c r="E96" s="19"/>
      <c r="F96" s="19"/>
      <c r="G96" s="19"/>
      <c r="H96" s="19"/>
      <c r="I96" s="19"/>
      <c r="J96" s="19"/>
      <c r="K96" s="19"/>
      <c r="L96" s="28"/>
    </row>
  </sheetData>
  <sheetProtection algorithmName="SHA-512" hashValue="u8lTXIC50vpHCQhB3UJpzpeO47RqQMrpv8zSLqJp3aroqOktjkk+JM2lJqG7vis6H/x7A9VovHwteSDmC5K2qQ==" saltValue="bO6cjntfLDAzJI5MRPCDMw==" spinCount="100000" sheet="1" objects="1" scenarios="1"/>
  <mergeCells count="11">
    <mergeCell ref="B68:L68"/>
    <mergeCell ref="I35:L35"/>
    <mergeCell ref="B1:L1"/>
    <mergeCell ref="B2:L2"/>
    <mergeCell ref="F33:G33"/>
    <mergeCell ref="I33:L33"/>
    <mergeCell ref="F34:G34"/>
    <mergeCell ref="I34:L34"/>
    <mergeCell ref="B42:B44"/>
    <mergeCell ref="F42:F44"/>
    <mergeCell ref="K39:L39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3" fitToHeight="0" orientation="portrait" horizontalDpi="4294967292" verticalDpi="4294967292"/>
  <rowBreaks count="1" manualBreakCount="1">
    <brk id="64" min="1" max="12" man="1"/>
  </rowBreaks>
  <colBreaks count="1" manualBreakCount="1">
    <brk id="12" max="81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M95"/>
  <sheetViews>
    <sheetView showGridLines="0" topLeftCell="A33" zoomScale="125" zoomScaleNormal="100" workbookViewId="0">
      <selection activeCell="F43" sqref="F43"/>
    </sheetView>
  </sheetViews>
  <sheetFormatPr baseColWidth="10" defaultColWidth="10.83203125" defaultRowHeight="15" x14ac:dyDescent="0.2"/>
  <cols>
    <col min="1" max="1" width="6" style="109" customWidth="1"/>
    <col min="2" max="2" width="13.5" style="109" bestFit="1" customWidth="1"/>
    <col min="3" max="4" width="10.83203125" style="109"/>
    <col min="5" max="5" width="14.6640625" style="109" bestFit="1" customWidth="1"/>
    <col min="6" max="12" width="10.83203125" style="109"/>
    <col min="13" max="13" width="8" style="109" customWidth="1"/>
    <col min="14" max="16384" width="10.83203125" style="109"/>
  </cols>
  <sheetData>
    <row r="2" spans="2:13" ht="25" x14ac:dyDescent="0.2">
      <c r="B2" s="622" t="s">
        <v>86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3" s="175" customFormat="1" ht="20" x14ac:dyDescent="0.25">
      <c r="B3" s="623" t="str">
        <f>+ROUND(C33,1)&amp;""""&amp;" "&amp;F33&amp;" Aspect Ratio"</f>
        <v>93,5" 1,777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3" s="175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s="145" customFormat="1" ht="16" customHeight="1" x14ac:dyDescent="0.3">
      <c r="B5" s="61"/>
      <c r="C5" s="61"/>
      <c r="D5" s="61"/>
      <c r="E5" s="61"/>
      <c r="F5" s="30">
        <f>F34</f>
        <v>2899</v>
      </c>
      <c r="G5" s="35"/>
      <c r="H5" s="61"/>
      <c r="I5" s="61"/>
      <c r="J5" s="61"/>
      <c r="K5" s="61"/>
      <c r="L5" s="60">
        <f>+D38</f>
        <v>148</v>
      </c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 x14ac:dyDescent="0.2">
      <c r="B7" s="1"/>
      <c r="C7" s="1"/>
      <c r="D7" s="1"/>
      <c r="E7" s="1"/>
      <c r="F7" s="1"/>
      <c r="G7" s="1"/>
      <c r="H7" s="1"/>
      <c r="I7" s="1"/>
      <c r="J7" s="1"/>
      <c r="L7" s="1"/>
    </row>
    <row r="8" spans="2:13" x14ac:dyDescent="0.2">
      <c r="B8" s="1"/>
      <c r="C8" s="182"/>
      <c r="D8" s="182"/>
      <c r="E8" s="182"/>
      <c r="F8" s="182"/>
      <c r="G8" s="182"/>
      <c r="H8" s="182"/>
      <c r="I8" s="182"/>
      <c r="J8" s="182"/>
      <c r="K8" s="38"/>
      <c r="L8" s="1"/>
      <c r="M8" s="42">
        <f>+G34</f>
        <v>139</v>
      </c>
    </row>
    <row r="9" spans="2:13" x14ac:dyDescent="0.2">
      <c r="C9" s="182"/>
      <c r="D9" s="182"/>
      <c r="E9" s="182"/>
      <c r="F9" s="182"/>
      <c r="G9" s="182"/>
      <c r="H9" s="182"/>
      <c r="I9" s="182"/>
      <c r="J9" s="182"/>
      <c r="K9" s="1"/>
      <c r="L9" s="1"/>
    </row>
    <row r="10" spans="2:13" x14ac:dyDescent="0.2">
      <c r="B10" s="32">
        <f>+F35</f>
        <v>128</v>
      </c>
      <c r="C10" s="182"/>
      <c r="D10" s="182"/>
      <c r="E10" s="182"/>
      <c r="F10" s="182"/>
      <c r="G10" s="182"/>
      <c r="H10" s="182"/>
      <c r="I10" s="182"/>
      <c r="J10" s="182"/>
      <c r="K10" s="1"/>
      <c r="L10" s="1"/>
    </row>
    <row r="11" spans="2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 x14ac:dyDescent="0.2">
      <c r="B12" s="1"/>
      <c r="C12" s="1"/>
      <c r="D12" s="1"/>
      <c r="E12" s="1"/>
      <c r="G12" s="1"/>
      <c r="H12" s="1"/>
      <c r="I12" s="1"/>
      <c r="J12" s="1"/>
      <c r="K12" s="1"/>
      <c r="L12" s="1"/>
    </row>
    <row r="13" spans="2:13" x14ac:dyDescent="0.2">
      <c r="B13" s="1"/>
      <c r="C13" s="1"/>
      <c r="D13" s="1"/>
      <c r="E13" s="1"/>
      <c r="G13" s="1"/>
      <c r="H13" s="1"/>
      <c r="I13" s="1"/>
      <c r="J13" s="1"/>
      <c r="K13" s="1"/>
      <c r="L13" s="1"/>
    </row>
    <row r="14" spans="2:13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 x14ac:dyDescent="0.2"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</row>
    <row r="16" spans="2:13" x14ac:dyDescent="0.2">
      <c r="B16" s="1"/>
      <c r="C16" s="1"/>
      <c r="D16" s="1"/>
      <c r="F16" s="1"/>
      <c r="G16" s="1"/>
      <c r="H16" s="1"/>
      <c r="I16" s="1"/>
      <c r="J16" s="1"/>
      <c r="K16" s="5">
        <f>+D36</f>
        <v>1673.522228474958</v>
      </c>
      <c r="L16" s="1"/>
      <c r="M16" s="176"/>
    </row>
    <row r="17" spans="2:13" x14ac:dyDescent="0.2">
      <c r="B17" s="1"/>
      <c r="C17" s="1"/>
      <c r="D17" s="1"/>
      <c r="E17" s="35"/>
      <c r="F17" s="1"/>
      <c r="G17" s="1"/>
      <c r="H17" s="1"/>
      <c r="I17" s="1"/>
      <c r="J17" s="1"/>
      <c r="K17" s="39"/>
      <c r="L17" s="1"/>
      <c r="M17" s="177"/>
    </row>
    <row r="18" spans="2:13" x14ac:dyDescent="0.2">
      <c r="B18" s="1"/>
      <c r="C18" s="1"/>
      <c r="D18" s="5">
        <f>+D34</f>
        <v>1336.522228474958</v>
      </c>
      <c r="F18" s="1"/>
      <c r="G18" s="1"/>
      <c r="H18" s="1"/>
      <c r="I18" s="1"/>
      <c r="J18" s="1"/>
      <c r="K18" s="1"/>
      <c r="L18" s="1"/>
    </row>
    <row r="19" spans="2:13" ht="31" x14ac:dyDescent="0.2">
      <c r="B19" s="1"/>
      <c r="C19" s="1"/>
      <c r="D19" s="1"/>
      <c r="E19" s="1"/>
      <c r="F19" s="1"/>
      <c r="G19" s="348">
        <f>+D37</f>
        <v>2725.2369928517533</v>
      </c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35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62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3"/>
      <c r="G25" s="1"/>
      <c r="H25" s="1"/>
      <c r="I25" s="1"/>
      <c r="J25" s="1"/>
      <c r="K25" s="1"/>
      <c r="L25" s="1"/>
    </row>
    <row r="26" spans="2:13" x14ac:dyDescent="0.2"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 x14ac:dyDescent="0.2">
      <c r="B27" s="350">
        <v>75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350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350"/>
      <c r="C29" s="1"/>
      <c r="D29" s="1"/>
      <c r="E29" s="1"/>
      <c r="F29" s="351">
        <f>+D33</f>
        <v>2375</v>
      </c>
      <c r="G29" s="1"/>
      <c r="H29" s="1"/>
      <c r="I29" s="1"/>
      <c r="J29" s="1"/>
      <c r="K29" s="1"/>
      <c r="L29" s="1"/>
    </row>
    <row r="30" spans="2:13" ht="14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3" ht="38" customHeight="1" thickBot="1" x14ac:dyDescent="0.25">
      <c r="B31" s="1"/>
      <c r="C31" s="1"/>
      <c r="D31" s="1"/>
      <c r="E31" s="1"/>
      <c r="F31" s="349">
        <f>+F37</f>
        <v>2697</v>
      </c>
      <c r="G31" s="36"/>
      <c r="H31" s="1"/>
      <c r="I31" s="1"/>
      <c r="J31" s="1"/>
      <c r="K31" s="1"/>
      <c r="L31" s="1"/>
    </row>
    <row r="32" spans="2:13" x14ac:dyDescent="0.2">
      <c r="B32" s="6"/>
      <c r="C32" s="7" t="s">
        <v>3</v>
      </c>
      <c r="D32" s="156" t="s">
        <v>4</v>
      </c>
      <c r="E32" s="9"/>
      <c r="F32" s="583"/>
      <c r="G32" s="584"/>
      <c r="H32" s="9" t="s">
        <v>6</v>
      </c>
      <c r="I32" s="585">
        <f ca="1">NOW()</f>
        <v>46062.500802662034</v>
      </c>
      <c r="J32" s="585"/>
      <c r="K32" s="585"/>
      <c r="L32" s="586"/>
    </row>
    <row r="33" spans="2:12" ht="40" customHeight="1" x14ac:dyDescent="0.2">
      <c r="B33" s="150" t="s">
        <v>7</v>
      </c>
      <c r="C33" s="173">
        <f t="shared" ref="C33:C38" si="0">+D33/$F$38</f>
        <v>93.503937007874015</v>
      </c>
      <c r="D33" s="290">
        <v>2375</v>
      </c>
      <c r="E33" s="152" t="s">
        <v>8</v>
      </c>
      <c r="F33" s="270">
        <v>1.7769999999999999</v>
      </c>
      <c r="G33" s="178"/>
      <c r="H33" s="153" t="s">
        <v>9</v>
      </c>
      <c r="I33" s="626"/>
      <c r="J33" s="626"/>
      <c r="K33" s="626"/>
      <c r="L33" s="627"/>
    </row>
    <row r="34" spans="2:12" ht="40" customHeight="1" x14ac:dyDescent="0.2">
      <c r="B34" s="10" t="s">
        <v>10</v>
      </c>
      <c r="C34" s="45">
        <f t="shared" si="0"/>
        <v>52.618985373029844</v>
      </c>
      <c r="D34" s="121">
        <f>+D33/F33</f>
        <v>1336.522228474958</v>
      </c>
      <c r="E34" s="12" t="s">
        <v>74</v>
      </c>
      <c r="F34" s="121">
        <f>D33+524</f>
        <v>2899</v>
      </c>
      <c r="G34" s="183">
        <v>139</v>
      </c>
      <c r="H34" s="12" t="s">
        <v>13</v>
      </c>
      <c r="I34" s="619"/>
      <c r="J34" s="620"/>
      <c r="K34" s="620"/>
      <c r="L34" s="621"/>
    </row>
    <row r="35" spans="2:12" ht="40" customHeight="1" x14ac:dyDescent="0.2">
      <c r="B35" s="10" t="s">
        <v>14</v>
      </c>
      <c r="C35" s="45">
        <f t="shared" si="0"/>
        <v>114.13385826771655</v>
      </c>
      <c r="D35" s="124">
        <f>F34</f>
        <v>2899</v>
      </c>
      <c r="E35" s="12" t="s">
        <v>75</v>
      </c>
      <c r="F35" s="269">
        <v>128</v>
      </c>
      <c r="G35" s="46" t="s">
        <v>87</v>
      </c>
      <c r="H35" s="47"/>
      <c r="I35" s="64"/>
      <c r="J35" s="1"/>
      <c r="K35" s="1"/>
      <c r="L35" s="15"/>
    </row>
    <row r="36" spans="2:12" ht="40" customHeight="1" x14ac:dyDescent="0.2">
      <c r="B36" s="10" t="s">
        <v>134</v>
      </c>
      <c r="C36" s="45">
        <f t="shared" si="0"/>
        <v>65.886701908462911</v>
      </c>
      <c r="D36" s="124">
        <f>+D34+M8+B10+70</f>
        <v>1673.522228474958</v>
      </c>
      <c r="E36" s="12" t="s">
        <v>19</v>
      </c>
      <c r="F36" s="290">
        <v>230</v>
      </c>
      <c r="G36" s="690" t="s">
        <v>88</v>
      </c>
      <c r="H36" s="691"/>
      <c r="I36" s="691"/>
      <c r="J36" s="1"/>
      <c r="K36" s="1"/>
      <c r="L36" s="15"/>
    </row>
    <row r="37" spans="2:12" ht="18" customHeight="1" thickBot="1" x14ac:dyDescent="0.25">
      <c r="B37" s="10" t="s">
        <v>21</v>
      </c>
      <c r="C37" s="45">
        <f t="shared" si="0"/>
        <v>107.29279499416351</v>
      </c>
      <c r="D37" s="124">
        <f>SQRT((D33^2)+(D34^2))</f>
        <v>2725.2369928517533</v>
      </c>
      <c r="E37" s="12" t="s">
        <v>77</v>
      </c>
      <c r="F37" s="128">
        <f>322+D33</f>
        <v>2697</v>
      </c>
      <c r="G37" s="16" t="s">
        <v>89</v>
      </c>
      <c r="H37" s="1"/>
      <c r="I37" s="1"/>
      <c r="J37" s="1"/>
      <c r="K37" s="1"/>
      <c r="L37" s="15"/>
    </row>
    <row r="38" spans="2:12" ht="18" customHeight="1" thickBot="1" x14ac:dyDescent="0.3">
      <c r="B38" s="17" t="s">
        <v>23</v>
      </c>
      <c r="C38" s="49">
        <f t="shared" si="0"/>
        <v>5.8267716535433074</v>
      </c>
      <c r="D38" s="130">
        <v>148</v>
      </c>
      <c r="E38" s="18" t="s">
        <v>24</v>
      </c>
      <c r="F38" s="132">
        <v>25.4</v>
      </c>
      <c r="G38" s="19" t="s">
        <v>90</v>
      </c>
      <c r="H38" s="19"/>
      <c r="I38" s="19"/>
      <c r="J38" s="19"/>
      <c r="K38" s="688" t="s">
        <v>67</v>
      </c>
      <c r="L38" s="689"/>
    </row>
    <row r="39" spans="2:12" ht="18" customHeight="1" thickBot="1" x14ac:dyDescent="0.3">
      <c r="B39" s="86"/>
      <c r="C39" s="352"/>
      <c r="D39" s="353"/>
      <c r="E39" s="86"/>
      <c r="F39" s="354"/>
      <c r="G39" s="1"/>
      <c r="H39" s="1"/>
      <c r="I39" s="1"/>
      <c r="J39" s="1"/>
      <c r="K39" s="34"/>
      <c r="L39" s="355"/>
    </row>
    <row r="40" spans="2:12" ht="16" thickBot="1" x14ac:dyDescent="0.25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thickBot="1" x14ac:dyDescent="0.25">
      <c r="B41" s="608" t="s">
        <v>169</v>
      </c>
      <c r="C41" s="1"/>
      <c r="D41" s="1"/>
      <c r="E41" s="1"/>
      <c r="F41" s="1"/>
      <c r="G41" s="608" t="s">
        <v>182</v>
      </c>
      <c r="H41" s="1"/>
      <c r="I41" s="1"/>
      <c r="J41" s="1"/>
      <c r="K41" s="1"/>
      <c r="L41" s="15"/>
    </row>
    <row r="42" spans="2:12" ht="16" thickBot="1" x14ac:dyDescent="0.25">
      <c r="B42" s="609"/>
      <c r="C42" s="1" t="s">
        <v>177</v>
      </c>
      <c r="D42" s="83"/>
      <c r="E42" s="342"/>
      <c r="F42" s="1"/>
      <c r="G42" s="609"/>
      <c r="H42" s="83" t="s">
        <v>305</v>
      </c>
      <c r="I42" s="342" t="s">
        <v>231</v>
      </c>
      <c r="K42" s="1"/>
      <c r="L42" s="15"/>
    </row>
    <row r="43" spans="2:12" ht="16" thickBot="1" x14ac:dyDescent="0.25">
      <c r="B43" s="610"/>
      <c r="C43" s="1" t="s">
        <v>178</v>
      </c>
      <c r="D43" s="83"/>
      <c r="E43" s="342" t="s">
        <v>231</v>
      </c>
      <c r="F43" s="1"/>
      <c r="G43" s="610"/>
      <c r="H43" s="83" t="s">
        <v>304</v>
      </c>
      <c r="I43" s="342"/>
      <c r="K43" s="1"/>
      <c r="L43" s="15"/>
    </row>
    <row r="44" spans="2:12" x14ac:dyDescent="0.2">
      <c r="B44" s="209"/>
      <c r="C44" s="1"/>
      <c r="D44" s="1"/>
      <c r="E44" s="1"/>
      <c r="F44" s="1"/>
      <c r="G44" s="1"/>
      <c r="H44" s="1"/>
      <c r="I44" s="1"/>
      <c r="J44" s="1"/>
      <c r="K44" s="1"/>
      <c r="L44" s="15"/>
    </row>
    <row r="45" spans="2:12" ht="16" customHeight="1" x14ac:dyDescent="0.2">
      <c r="B45" s="209"/>
      <c r="C45" s="50" t="s">
        <v>48</v>
      </c>
      <c r="D45" s="55"/>
      <c r="E45" s="55"/>
      <c r="F45" s="55"/>
      <c r="G45" s="55"/>
      <c r="H45" s="55"/>
      <c r="I45" s="55"/>
      <c r="J45" s="55"/>
      <c r="K45" s="55"/>
      <c r="L45" s="215"/>
    </row>
    <row r="46" spans="2:12" ht="7" customHeight="1" x14ac:dyDescent="0.2">
      <c r="B46" s="225"/>
      <c r="C46" s="54"/>
      <c r="D46" s="1"/>
      <c r="E46" s="1"/>
      <c r="F46" s="1"/>
      <c r="G46" s="1"/>
      <c r="H46" s="1"/>
      <c r="I46" s="1"/>
      <c r="J46" s="1"/>
      <c r="K46" s="1"/>
      <c r="L46" s="15"/>
    </row>
    <row r="47" spans="2:12" ht="16" customHeight="1" x14ac:dyDescent="0.2">
      <c r="B47" s="209"/>
      <c r="C47" s="219"/>
      <c r="D47" s="322" t="s">
        <v>27</v>
      </c>
      <c r="E47" s="322" t="s">
        <v>3</v>
      </c>
      <c r="F47" s="322" t="s">
        <v>4</v>
      </c>
      <c r="G47" s="1"/>
      <c r="H47" s="1"/>
      <c r="I47" s="1"/>
      <c r="J47" s="1"/>
      <c r="K47" s="1"/>
      <c r="L47" s="15"/>
    </row>
    <row r="48" spans="2:12" ht="16" customHeight="1" x14ac:dyDescent="0.2">
      <c r="B48" s="209"/>
      <c r="C48" s="219" t="s">
        <v>29</v>
      </c>
      <c r="D48" s="323" t="s">
        <v>30</v>
      </c>
      <c r="E48" s="144">
        <v>140</v>
      </c>
      <c r="F48" s="144">
        <f>E48*25.4</f>
        <v>3556</v>
      </c>
      <c r="G48" s="1"/>
      <c r="H48" s="1"/>
      <c r="I48" s="1"/>
      <c r="J48" s="1"/>
      <c r="K48" s="1"/>
      <c r="L48" s="15"/>
    </row>
    <row r="49" spans="2:12" ht="16" customHeight="1" x14ac:dyDescent="0.2">
      <c r="B49" s="209"/>
      <c r="C49" s="219" t="s">
        <v>31</v>
      </c>
      <c r="D49" s="323" t="s">
        <v>49</v>
      </c>
      <c r="E49" s="144">
        <v>160</v>
      </c>
      <c r="F49" s="144">
        <f>E49*25.4</f>
        <v>4064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09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09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15"/>
    </row>
    <row r="52" spans="2:12" x14ac:dyDescent="0.2">
      <c r="B52" s="225"/>
      <c r="C52" s="1" t="s">
        <v>142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09"/>
      <c r="C53" s="1" t="s">
        <v>141</v>
      </c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09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2" x14ac:dyDescent="0.2">
      <c r="B55" s="209"/>
      <c r="C55" s="50" t="s">
        <v>36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x14ac:dyDescent="0.2">
      <c r="B56" s="225"/>
      <c r="C56" s="1" t="s">
        <v>91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09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09"/>
      <c r="C58" s="50" t="s">
        <v>185</v>
      </c>
      <c r="D58" s="55"/>
      <c r="E58" s="55"/>
      <c r="F58" s="55"/>
      <c r="G58" s="55" t="s">
        <v>80</v>
      </c>
      <c r="H58" s="55"/>
      <c r="I58" s="55"/>
      <c r="J58" s="55"/>
      <c r="K58" s="55"/>
      <c r="L58" s="215"/>
    </row>
    <row r="59" spans="2:12" x14ac:dyDescent="0.2">
      <c r="B59" s="225"/>
      <c r="C59" s="5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09"/>
      <c r="C60" s="220" t="s">
        <v>38</v>
      </c>
      <c r="D60" s="324">
        <f>IF(C31&gt;199,2,1)</f>
        <v>1</v>
      </c>
      <c r="E60" s="143"/>
      <c r="F60" s="143"/>
      <c r="G60" s="143"/>
      <c r="H60" s="143"/>
      <c r="I60" s="143"/>
      <c r="J60" s="143"/>
      <c r="K60" s="143"/>
      <c r="L60" s="15"/>
    </row>
    <row r="61" spans="2:12" ht="14" customHeight="1" x14ac:dyDescent="0.2">
      <c r="B61" s="209"/>
      <c r="C61" s="220" t="s">
        <v>39</v>
      </c>
      <c r="D61" s="271">
        <f>+F34+100</f>
        <v>2999</v>
      </c>
      <c r="E61" s="324" t="s">
        <v>4</v>
      </c>
      <c r="F61" s="143" t="s">
        <v>146</v>
      </c>
      <c r="G61" s="143"/>
      <c r="H61" s="143"/>
      <c r="I61" s="143"/>
      <c r="J61" s="143"/>
      <c r="K61" s="143"/>
      <c r="L61" s="15"/>
    </row>
    <row r="62" spans="2:12" x14ac:dyDescent="0.2">
      <c r="B62" s="209"/>
      <c r="C62" s="220" t="s">
        <v>41</v>
      </c>
      <c r="D62" s="272">
        <v>250</v>
      </c>
      <c r="E62" s="324" t="s">
        <v>4</v>
      </c>
      <c r="F62" s="143"/>
      <c r="G62" s="143"/>
      <c r="H62" s="143"/>
      <c r="I62" s="143"/>
      <c r="J62" s="143"/>
      <c r="K62" s="143"/>
      <c r="L62" s="15"/>
    </row>
    <row r="63" spans="2:12" x14ac:dyDescent="0.2">
      <c r="B63" s="209"/>
      <c r="C63" s="220" t="s">
        <v>81</v>
      </c>
      <c r="D63" s="272">
        <v>350</v>
      </c>
      <c r="E63" s="324" t="s">
        <v>4</v>
      </c>
      <c r="F63" s="143"/>
      <c r="G63" s="143"/>
      <c r="H63" s="143"/>
      <c r="I63" s="143"/>
      <c r="J63" s="143"/>
      <c r="K63" s="143"/>
      <c r="L63" s="15"/>
    </row>
    <row r="64" spans="2:12" x14ac:dyDescent="0.2">
      <c r="B64" s="209"/>
      <c r="C64" s="220" t="s">
        <v>43</v>
      </c>
      <c r="D64" s="273">
        <f>IF(C33&lt;140,C33*0.45,C33*0.5)</f>
        <v>42.076771653543311</v>
      </c>
      <c r="E64" s="324" t="s">
        <v>44</v>
      </c>
      <c r="F64" s="143"/>
      <c r="G64" s="143"/>
      <c r="H64" s="143"/>
      <c r="I64" s="143"/>
      <c r="J64" s="143"/>
      <c r="K64" s="143"/>
      <c r="L64" s="15"/>
    </row>
    <row r="65" spans="2:12" x14ac:dyDescent="0.2">
      <c r="B65" s="209"/>
      <c r="C65" s="1"/>
      <c r="D65" s="1"/>
      <c r="E65" s="1"/>
      <c r="F65" s="1"/>
      <c r="H65" s="1"/>
      <c r="I65" s="1"/>
      <c r="J65" s="1"/>
      <c r="K65" s="1"/>
      <c r="L65" s="15"/>
    </row>
    <row r="66" spans="2:12" ht="16" x14ac:dyDescent="0.2">
      <c r="B66" s="209"/>
      <c r="C66" s="1"/>
      <c r="D66"/>
      <c r="E66" s="356">
        <v>148</v>
      </c>
      <c r="F66" s="1"/>
      <c r="G66" s="1"/>
      <c r="H66" s="1"/>
      <c r="I66" s="1"/>
      <c r="L66" s="337"/>
    </row>
    <row r="67" spans="2:12" ht="16" x14ac:dyDescent="0.2">
      <c r="B67" s="209"/>
      <c r="C67" s="1"/>
      <c r="D67"/>
      <c r="E67" s="1"/>
      <c r="F67" s="1"/>
      <c r="G67" s="1"/>
      <c r="H67" s="1"/>
      <c r="I67" s="1"/>
      <c r="L67" s="337"/>
    </row>
    <row r="68" spans="2:12" ht="16" x14ac:dyDescent="0.2">
      <c r="B68" s="209"/>
      <c r="C68" s="1"/>
      <c r="D68"/>
      <c r="E68" s="1"/>
      <c r="F68" s="1"/>
      <c r="G68" s="1"/>
      <c r="H68" s="1"/>
      <c r="I68" s="1"/>
      <c r="L68" s="337"/>
    </row>
    <row r="69" spans="2:12" ht="16" x14ac:dyDescent="0.2">
      <c r="B69" s="209"/>
      <c r="C69" s="1"/>
      <c r="D69"/>
      <c r="E69" s="1"/>
      <c r="F69" s="1"/>
      <c r="G69" s="1"/>
      <c r="H69" s="1"/>
      <c r="I69" s="1"/>
      <c r="L69" s="337"/>
    </row>
    <row r="70" spans="2:12" ht="16" x14ac:dyDescent="0.2">
      <c r="B70" s="209"/>
      <c r="C70" s="1"/>
      <c r="D70"/>
      <c r="E70" s="1"/>
      <c r="F70" s="1"/>
      <c r="G70" s="1"/>
      <c r="H70" s="1"/>
      <c r="I70" s="1"/>
      <c r="L70" s="337"/>
    </row>
    <row r="71" spans="2:12" ht="16" x14ac:dyDescent="0.2">
      <c r="B71" s="209"/>
      <c r="C71" s="1"/>
      <c r="D71"/>
      <c r="E71" s="1"/>
      <c r="F71" s="1"/>
      <c r="G71" s="1"/>
      <c r="H71" s="1"/>
      <c r="I71" s="1"/>
      <c r="L71" s="337"/>
    </row>
    <row r="72" spans="2:12" ht="16" x14ac:dyDescent="0.2">
      <c r="B72" s="209"/>
      <c r="C72" s="1"/>
      <c r="D72"/>
      <c r="E72" s="1"/>
      <c r="F72" s="1"/>
      <c r="G72" s="1"/>
      <c r="H72" s="1"/>
      <c r="I72" s="1"/>
      <c r="L72" s="337"/>
    </row>
    <row r="73" spans="2:12" ht="16" x14ac:dyDescent="0.2">
      <c r="B73" s="209"/>
      <c r="C73" s="64">
        <v>139</v>
      </c>
      <c r="D73"/>
      <c r="E73" s="1"/>
      <c r="F73" s="1"/>
      <c r="G73" s="1"/>
      <c r="H73" s="1"/>
      <c r="I73" s="1"/>
      <c r="L73" s="337"/>
    </row>
    <row r="74" spans="2:12" ht="16" x14ac:dyDescent="0.2">
      <c r="B74" s="209"/>
      <c r="C74" s="1"/>
      <c r="D74"/>
      <c r="E74" s="1"/>
      <c r="F74" s="1"/>
      <c r="G74" s="1"/>
      <c r="H74" s="1"/>
      <c r="I74" s="1"/>
      <c r="L74" s="337"/>
    </row>
    <row r="75" spans="2:12" ht="16" x14ac:dyDescent="0.2">
      <c r="B75" s="209"/>
      <c r="C75" s="1"/>
      <c r="D75"/>
      <c r="E75" s="1"/>
      <c r="F75" s="1"/>
      <c r="G75" s="1"/>
      <c r="H75" s="1"/>
      <c r="I75" s="1"/>
      <c r="L75" s="337"/>
    </row>
    <row r="76" spans="2:12" ht="16" x14ac:dyDescent="0.2">
      <c r="B76" s="209"/>
      <c r="C76" s="1"/>
      <c r="D76"/>
      <c r="E76" s="1"/>
      <c r="F76" s="1"/>
      <c r="G76" s="1"/>
      <c r="H76" s="1"/>
      <c r="I76" s="1"/>
      <c r="L76" s="337"/>
    </row>
    <row r="77" spans="2:12" ht="16" x14ac:dyDescent="0.2">
      <c r="B77" s="209"/>
      <c r="C77" s="1"/>
      <c r="D77"/>
      <c r="E77" s="1"/>
      <c r="F77" s="1"/>
      <c r="G77" s="1"/>
      <c r="H77" s="1"/>
      <c r="I77" s="1"/>
      <c r="L77" s="337"/>
    </row>
    <row r="78" spans="2:12" x14ac:dyDescent="0.2">
      <c r="B78" s="209"/>
      <c r="C78" s="1"/>
      <c r="D78" s="356" t="s">
        <v>140</v>
      </c>
      <c r="E78" s="1"/>
      <c r="F78" s="1"/>
      <c r="G78" s="1"/>
      <c r="H78" s="1"/>
      <c r="I78" s="1"/>
      <c r="L78" s="337"/>
    </row>
    <row r="79" spans="2:12" ht="16" x14ac:dyDescent="0.2">
      <c r="B79" s="209"/>
      <c r="C79" s="1"/>
      <c r="D79"/>
      <c r="E79" s="1"/>
      <c r="F79" s="1"/>
      <c r="G79" s="1"/>
      <c r="H79" s="1"/>
      <c r="I79" s="1"/>
      <c r="L79" s="337"/>
    </row>
    <row r="80" spans="2:12" ht="16" x14ac:dyDescent="0.2">
      <c r="B80" s="209"/>
      <c r="C80" s="1"/>
      <c r="D80"/>
      <c r="E80" s="1"/>
      <c r="F80" s="1"/>
      <c r="G80" s="1"/>
      <c r="H80" s="1"/>
      <c r="I80" s="1"/>
      <c r="L80" s="337"/>
    </row>
    <row r="81" spans="2:12" ht="16" x14ac:dyDescent="0.2">
      <c r="B81" s="209"/>
      <c r="C81" s="358">
        <v>30</v>
      </c>
      <c r="E81" s="1"/>
      <c r="F81" s="1"/>
      <c r="G81" s="1"/>
      <c r="H81" s="1"/>
      <c r="I81" s="1"/>
      <c r="L81" s="337"/>
    </row>
    <row r="82" spans="2:12" ht="16" x14ac:dyDescent="0.2">
      <c r="B82" s="209"/>
      <c r="C82" s="356"/>
      <c r="D82"/>
      <c r="E82" s="1"/>
      <c r="F82" s="1"/>
      <c r="G82" s="1"/>
      <c r="H82" s="1"/>
      <c r="I82" s="1"/>
      <c r="L82" s="337"/>
    </row>
    <row r="83" spans="2:12" ht="16" x14ac:dyDescent="0.2">
      <c r="B83" s="209"/>
      <c r="C83" s="1"/>
      <c r="D83"/>
      <c r="E83" s="1"/>
      <c r="F83" s="1"/>
      <c r="G83" s="1"/>
      <c r="H83" s="1"/>
      <c r="I83" s="1"/>
      <c r="L83" s="337"/>
    </row>
    <row r="84" spans="2:12" ht="16" x14ac:dyDescent="0.2">
      <c r="B84" s="209"/>
      <c r="C84" s="52">
        <v>50</v>
      </c>
      <c r="D84" s="302"/>
      <c r="E84" s="1"/>
      <c r="F84" s="1"/>
      <c r="G84" s="1"/>
      <c r="H84" s="1"/>
      <c r="I84" s="1"/>
      <c r="L84" s="337"/>
    </row>
    <row r="85" spans="2:12" x14ac:dyDescent="0.2">
      <c r="B85" s="209"/>
      <c r="C85" s="1"/>
      <c r="D85" s="357">
        <v>25</v>
      </c>
      <c r="E85" s="1"/>
      <c r="F85" s="1"/>
      <c r="G85" s="1"/>
      <c r="H85" s="1"/>
      <c r="I85" s="1"/>
      <c r="L85" s="337"/>
    </row>
    <row r="86" spans="2:12" ht="17" thickBot="1" x14ac:dyDescent="0.25">
      <c r="B86" s="217"/>
      <c r="C86" s="19"/>
      <c r="D86" s="19"/>
      <c r="E86" s="19"/>
      <c r="F86" s="19"/>
      <c r="G86" s="258"/>
      <c r="H86" s="19"/>
      <c r="I86" s="19"/>
      <c r="J86" s="19"/>
      <c r="K86" s="19"/>
      <c r="L86" s="28"/>
    </row>
    <row r="87" spans="2:12" ht="16" x14ac:dyDescent="0.2">
      <c r="G87" s="180"/>
    </row>
    <row r="88" spans="2:12" ht="16" x14ac:dyDescent="0.2">
      <c r="G88" s="180"/>
    </row>
    <row r="89" spans="2:12" x14ac:dyDescent="0.2">
      <c r="G89" s="181"/>
    </row>
    <row r="90" spans="2:12" ht="16" x14ac:dyDescent="0.2">
      <c r="G90" s="180"/>
    </row>
    <row r="92" spans="2:12" ht="16" x14ac:dyDescent="0.2">
      <c r="G92" s="180"/>
    </row>
    <row r="93" spans="2:12" ht="16" x14ac:dyDescent="0.2">
      <c r="G93" s="180"/>
    </row>
    <row r="94" spans="2:12" ht="16" x14ac:dyDescent="0.2">
      <c r="G94" s="180"/>
    </row>
    <row r="95" spans="2:12" ht="18" x14ac:dyDescent="0.25">
      <c r="G95" s="179"/>
    </row>
  </sheetData>
  <sheetProtection algorithmName="SHA-512" hashValue="OaUQM27j+TBIrOtTieOetBO+ydhcLtHNerDtihIfcDAaXfnOKF4n6tZHXjCOSsVwO8BockZG45C46R7jZRWpeA==" saltValue="3hs3ts/avVWL87quB5oXGg==" spinCount="100000" sheet="1" objects="1" scenarios="1"/>
  <mergeCells count="10">
    <mergeCell ref="B2:L2"/>
    <mergeCell ref="B3:L3"/>
    <mergeCell ref="F32:G32"/>
    <mergeCell ref="I32:L32"/>
    <mergeCell ref="I33:L33"/>
    <mergeCell ref="K38:L38"/>
    <mergeCell ref="B41:B43"/>
    <mergeCell ref="G41:G43"/>
    <mergeCell ref="I34:L34"/>
    <mergeCell ref="G36:I36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2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2395-45BE-D942-ADD6-287E3150F7A8}">
  <dimension ref="A2:M67"/>
  <sheetViews>
    <sheetView topLeftCell="A10" workbookViewId="0">
      <selection activeCell="O24" sqref="O24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1" width="10.83203125" style="1"/>
    <col min="12" max="12" width="13" style="1" customWidth="1"/>
    <col min="13" max="16384" width="10.83203125" style="1"/>
  </cols>
  <sheetData>
    <row r="2" spans="1:12" ht="25" x14ac:dyDescent="0.2">
      <c r="B2" s="622" t="s">
        <v>93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1:12" s="34" customFormat="1" ht="20" x14ac:dyDescent="0.25">
      <c r="B3" s="623" t="str">
        <f>+ROUND(C33,1)&amp;""""&amp;" "&amp;F33&amp;" Aspect Ratio"</f>
        <v>119,3" 2,4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1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34" customFormat="1" ht="20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34" customFormat="1" ht="20" x14ac:dyDescent="0.25">
      <c r="B6" s="59"/>
      <c r="C6" s="59"/>
      <c r="D6" s="59"/>
      <c r="E6" s="59"/>
      <c r="F6" s="450">
        <f>F34</f>
        <v>3380</v>
      </c>
      <c r="G6" s="59"/>
      <c r="H6" s="59"/>
      <c r="I6" s="59"/>
      <c r="J6" s="59"/>
      <c r="K6" s="59"/>
      <c r="L6" s="60">
        <f>+D38</f>
        <v>252</v>
      </c>
    </row>
    <row r="7" spans="1:12" s="2" customFormat="1" ht="16" customHeight="1" x14ac:dyDescent="0.3">
      <c r="B7" s="61"/>
      <c r="C7" s="61"/>
      <c r="D7" s="61"/>
      <c r="E7" s="61"/>
      <c r="G7" s="35"/>
      <c r="H7" s="61"/>
      <c r="I7" s="61"/>
      <c r="J7" s="61"/>
      <c r="K7" s="61"/>
      <c r="L7" s="36"/>
    </row>
    <row r="8" spans="1:12" x14ac:dyDescent="0.2">
      <c r="K8" s="350">
        <f>+G34</f>
        <v>147</v>
      </c>
    </row>
    <row r="10" spans="1:12" x14ac:dyDescent="0.2">
      <c r="K10" s="38"/>
    </row>
    <row r="11" spans="1:12" x14ac:dyDescent="0.2">
      <c r="A11" s="32">
        <f>+F35</f>
        <v>703</v>
      </c>
      <c r="F11" s="454"/>
    </row>
    <row r="12" spans="1:12" x14ac:dyDescent="0.2">
      <c r="B12" s="35"/>
      <c r="C12" s="453"/>
      <c r="D12" s="453"/>
      <c r="E12" s="453"/>
      <c r="F12" s="453"/>
      <c r="G12" s="453"/>
      <c r="H12" s="453"/>
      <c r="I12" s="453"/>
      <c r="J12" s="453"/>
    </row>
    <row r="13" spans="1:12" x14ac:dyDescent="0.2">
      <c r="C13" s="453"/>
      <c r="D13" s="453"/>
      <c r="E13" s="453"/>
      <c r="F13" s="453"/>
      <c r="G13" s="453"/>
      <c r="H13" s="453"/>
      <c r="I13" s="453"/>
      <c r="J13" s="453"/>
    </row>
    <row r="14" spans="1:12" x14ac:dyDescent="0.2">
      <c r="C14" s="453"/>
      <c r="D14" s="453"/>
      <c r="E14" s="453"/>
      <c r="F14" s="453"/>
      <c r="G14" s="453"/>
      <c r="H14" s="453"/>
      <c r="I14" s="453"/>
      <c r="J14" s="453"/>
    </row>
    <row r="15" spans="1:12" x14ac:dyDescent="0.2">
      <c r="C15" s="453"/>
      <c r="D15" s="453"/>
      <c r="E15" s="453"/>
      <c r="F15" s="453"/>
      <c r="G15" s="453"/>
      <c r="H15" s="453"/>
      <c r="I15" s="453"/>
      <c r="J15" s="453"/>
    </row>
    <row r="17" spans="1:13" x14ac:dyDescent="0.2">
      <c r="F17" s="32">
        <f>D34*1.78</f>
        <v>2247.25</v>
      </c>
      <c r="G17" s="4"/>
    </row>
    <row r="18" spans="1:13" x14ac:dyDescent="0.2">
      <c r="F18" s="67"/>
      <c r="K18" s="5">
        <f>+D36</f>
        <v>2182.5</v>
      </c>
      <c r="M18" s="40">
        <f>D21+A11+A29</f>
        <v>2035.5</v>
      </c>
    </row>
    <row r="19" spans="1:13" x14ac:dyDescent="0.2">
      <c r="K19" s="39"/>
      <c r="M19" s="41"/>
    </row>
    <row r="21" spans="1:13" ht="32" x14ac:dyDescent="0.2">
      <c r="D21" s="195">
        <f>+D34</f>
        <v>1262.5</v>
      </c>
      <c r="F21" s="416">
        <f>+D37</f>
        <v>3282.5</v>
      </c>
      <c r="I21" s="66"/>
    </row>
    <row r="22" spans="1:13" x14ac:dyDescent="0.2">
      <c r="D22" s="35"/>
      <c r="G22" s="35"/>
      <c r="I22" s="67"/>
    </row>
    <row r="26" spans="1:13" x14ac:dyDescent="0.2">
      <c r="F26" s="60">
        <f>+D33</f>
        <v>3030</v>
      </c>
    </row>
    <row r="27" spans="1:13" x14ac:dyDescent="0.2">
      <c r="F27" s="39"/>
    </row>
    <row r="29" spans="1:13" x14ac:dyDescent="0.2">
      <c r="A29" s="32">
        <v>70</v>
      </c>
      <c r="B29" s="43"/>
    </row>
    <row r="31" spans="1:13" ht="38" customHeight="1" thickBot="1" x14ac:dyDescent="0.25">
      <c r="F31" s="44">
        <f>+F37</f>
        <v>3332</v>
      </c>
      <c r="G31" s="36"/>
    </row>
    <row r="32" spans="1:13" x14ac:dyDescent="0.2">
      <c r="B32" s="6"/>
      <c r="C32" s="7" t="s">
        <v>3</v>
      </c>
      <c r="D32" s="68" t="s">
        <v>4</v>
      </c>
      <c r="E32" s="9" t="s">
        <v>5</v>
      </c>
      <c r="F32" s="692" t="s">
        <v>28</v>
      </c>
      <c r="G32" s="693"/>
      <c r="H32" s="9" t="s">
        <v>6</v>
      </c>
      <c r="I32" s="585">
        <f ca="1">NOW()</f>
        <v>46062.500802662034</v>
      </c>
      <c r="J32" s="585"/>
      <c r="K32" s="585"/>
      <c r="L32" s="586"/>
    </row>
    <row r="33" spans="2:12" s="109" customFormat="1" ht="40" customHeight="1" x14ac:dyDescent="0.2">
      <c r="B33" s="150" t="s">
        <v>7</v>
      </c>
      <c r="C33" s="173">
        <f t="shared" ref="C33:C38" si="0">+D33/$F$38</f>
        <v>119.29133858267717</v>
      </c>
      <c r="D33" s="451">
        <v>3030</v>
      </c>
      <c r="E33" s="153" t="s">
        <v>8</v>
      </c>
      <c r="F33" s="694">
        <v>2.4</v>
      </c>
      <c r="G33" s="695"/>
      <c r="H33" s="153" t="s">
        <v>9</v>
      </c>
      <c r="I33" s="626"/>
      <c r="J33" s="626"/>
      <c r="K33" s="626"/>
      <c r="L33" s="627"/>
    </row>
    <row r="34" spans="2:12" ht="40" customHeight="1" x14ac:dyDescent="0.2">
      <c r="B34" s="10" t="s">
        <v>10</v>
      </c>
      <c r="C34" s="45">
        <f t="shared" si="0"/>
        <v>49.704724409448822</v>
      </c>
      <c r="D34" s="70">
        <f>+D33/F33</f>
        <v>1262.5</v>
      </c>
      <c r="E34" s="12" t="s">
        <v>74</v>
      </c>
      <c r="F34" s="70">
        <f>D33+350</f>
        <v>3380</v>
      </c>
      <c r="G34" s="70">
        <v>147</v>
      </c>
      <c r="H34" s="12" t="s">
        <v>13</v>
      </c>
      <c r="I34" s="619"/>
      <c r="J34" s="620"/>
      <c r="K34" s="620"/>
      <c r="L34" s="621"/>
    </row>
    <row r="35" spans="2:12" ht="40" customHeight="1" x14ac:dyDescent="0.2">
      <c r="B35" s="10" t="s">
        <v>14</v>
      </c>
      <c r="C35" s="45">
        <f t="shared" si="0"/>
        <v>133.0708661417323</v>
      </c>
      <c r="D35" s="71">
        <f>F34</f>
        <v>3380</v>
      </c>
      <c r="E35" s="12" t="s">
        <v>75</v>
      </c>
      <c r="F35" s="451">
        <v>703</v>
      </c>
      <c r="G35" s="46" t="s">
        <v>94</v>
      </c>
      <c r="H35" s="47"/>
      <c r="I35" s="64"/>
      <c r="L35" s="15"/>
    </row>
    <row r="36" spans="2:12" ht="40" customHeight="1" x14ac:dyDescent="0.2">
      <c r="B36" s="10" t="s">
        <v>18</v>
      </c>
      <c r="C36" s="45">
        <f t="shared" si="0"/>
        <v>85.925196850393704</v>
      </c>
      <c r="D36" s="71">
        <f>+D34+K8+A11+70</f>
        <v>2182.5</v>
      </c>
      <c r="E36" s="12" t="s">
        <v>19</v>
      </c>
      <c r="F36" s="452" t="s">
        <v>76</v>
      </c>
      <c r="G36" s="690" t="s">
        <v>88</v>
      </c>
      <c r="H36" s="691"/>
      <c r="I36" s="691"/>
      <c r="L36" s="15"/>
    </row>
    <row r="37" spans="2:12" ht="18" customHeight="1" thickBot="1" x14ac:dyDescent="0.25">
      <c r="B37" s="10" t="s">
        <v>21</v>
      </c>
      <c r="C37" s="45">
        <f t="shared" si="0"/>
        <v>129.23228346456693</v>
      </c>
      <c r="D37" s="71">
        <f>SQRT((D33^2)+(D34^2))</f>
        <v>3282.5</v>
      </c>
      <c r="E37" s="12" t="s">
        <v>77</v>
      </c>
      <c r="F37" s="74">
        <f>302+D33</f>
        <v>3332</v>
      </c>
      <c r="G37" s="16" t="s">
        <v>92</v>
      </c>
      <c r="L37" s="15"/>
    </row>
    <row r="38" spans="2:12" ht="18" customHeight="1" thickBot="1" x14ac:dyDescent="0.25">
      <c r="B38" s="17" t="s">
        <v>23</v>
      </c>
      <c r="C38" s="49">
        <f t="shared" si="0"/>
        <v>9.9212598425196852</v>
      </c>
      <c r="D38" s="75">
        <v>252</v>
      </c>
      <c r="E38" s="18" t="s">
        <v>24</v>
      </c>
      <c r="F38" s="76">
        <v>25.4</v>
      </c>
      <c r="G38" s="96" t="s">
        <v>95</v>
      </c>
      <c r="H38" s="19"/>
      <c r="I38" s="19"/>
      <c r="J38" s="19"/>
      <c r="K38" s="19"/>
      <c r="L38" s="423" t="s">
        <v>67</v>
      </c>
    </row>
    <row r="39" spans="2:12" ht="18" customHeight="1" thickBot="1" x14ac:dyDescent="0.25">
      <c r="B39" s="86"/>
      <c r="C39" s="352"/>
      <c r="D39" s="455"/>
      <c r="E39" s="86"/>
      <c r="F39" s="456"/>
      <c r="G39" s="457"/>
    </row>
    <row r="40" spans="2:12" x14ac:dyDescent="0.2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customHeight="1" x14ac:dyDescent="0.2">
      <c r="B41" s="209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15"/>
    </row>
    <row r="42" spans="2:12" ht="7" customHeight="1" x14ac:dyDescent="0.2">
      <c r="B42" s="225"/>
      <c r="C42" s="54"/>
      <c r="L42" s="15"/>
    </row>
    <row r="43" spans="2:12" ht="16" customHeight="1" x14ac:dyDescent="0.2">
      <c r="B43" s="209"/>
      <c r="C43" s="219"/>
      <c r="D43" s="322" t="s">
        <v>27</v>
      </c>
      <c r="E43" s="322" t="s">
        <v>3</v>
      </c>
      <c r="F43" s="322" t="s">
        <v>4</v>
      </c>
      <c r="L43" s="15"/>
    </row>
    <row r="44" spans="2:12" ht="16" customHeight="1" x14ac:dyDescent="0.2">
      <c r="B44" s="209"/>
      <c r="C44" s="219" t="s">
        <v>31</v>
      </c>
      <c r="D44" s="323">
        <v>2.4</v>
      </c>
      <c r="E44" s="144">
        <v>140</v>
      </c>
      <c r="F44" s="144">
        <f>E44*25.4</f>
        <v>3556</v>
      </c>
      <c r="L44" s="15"/>
    </row>
    <row r="45" spans="2:12" x14ac:dyDescent="0.2">
      <c r="B45" s="209"/>
      <c r="L45" s="15"/>
    </row>
    <row r="46" spans="2:12" x14ac:dyDescent="0.2">
      <c r="B46" s="209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x14ac:dyDescent="0.2">
      <c r="B47" s="225"/>
      <c r="C47" s="1" t="s">
        <v>97</v>
      </c>
      <c r="L47" s="15"/>
    </row>
    <row r="48" spans="2:12" x14ac:dyDescent="0.2">
      <c r="B48" s="209"/>
      <c r="L48" s="15"/>
    </row>
    <row r="49" spans="2:12" x14ac:dyDescent="0.2">
      <c r="B49" s="209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15"/>
    </row>
    <row r="50" spans="2:12" x14ac:dyDescent="0.2">
      <c r="B50" s="209"/>
      <c r="C50" s="51"/>
      <c r="L50" s="15"/>
    </row>
    <row r="51" spans="2:12" x14ac:dyDescent="0.2">
      <c r="B51" s="225"/>
      <c r="C51" s="220" t="s">
        <v>38</v>
      </c>
      <c r="D51" s="324">
        <f>IF(C33&gt;199,2,1)</f>
        <v>1</v>
      </c>
      <c r="E51" s="143"/>
      <c r="L51" s="15"/>
    </row>
    <row r="52" spans="2:12" ht="14" customHeight="1" x14ac:dyDescent="0.2">
      <c r="B52" s="209"/>
      <c r="C52" s="220" t="s">
        <v>39</v>
      </c>
      <c r="D52" s="418">
        <f>+F34+100</f>
        <v>3480</v>
      </c>
      <c r="E52" s="324" t="s">
        <v>4</v>
      </c>
      <c r="L52" s="15"/>
    </row>
    <row r="53" spans="2:12" x14ac:dyDescent="0.2">
      <c r="B53" s="209"/>
      <c r="C53" s="220" t="s">
        <v>41</v>
      </c>
      <c r="D53" s="419">
        <v>250</v>
      </c>
      <c r="E53" s="324" t="s">
        <v>4</v>
      </c>
      <c r="L53" s="15"/>
    </row>
    <row r="54" spans="2:12" x14ac:dyDescent="0.2">
      <c r="B54" s="209"/>
      <c r="C54" s="220" t="s">
        <v>81</v>
      </c>
      <c r="D54" s="419">
        <v>500</v>
      </c>
      <c r="E54" s="324" t="s">
        <v>4</v>
      </c>
      <c r="L54" s="15"/>
    </row>
    <row r="55" spans="2:12" x14ac:dyDescent="0.2">
      <c r="B55" s="209"/>
      <c r="C55" s="220" t="s">
        <v>43</v>
      </c>
      <c r="D55" s="273">
        <f>IF(C33&lt;140,C33*0.5,C33*0.5)</f>
        <v>59.645669291338585</v>
      </c>
      <c r="E55" s="324" t="s">
        <v>44</v>
      </c>
      <c r="L55" s="15"/>
    </row>
    <row r="56" spans="2:12" x14ac:dyDescent="0.2">
      <c r="B56" s="209"/>
      <c r="C56" s="458"/>
      <c r="L56" s="15"/>
    </row>
    <row r="57" spans="2:12" x14ac:dyDescent="0.2">
      <c r="B57" s="209"/>
      <c r="C57" s="459"/>
      <c r="L57" s="15"/>
    </row>
    <row r="58" spans="2:12" x14ac:dyDescent="0.2">
      <c r="B58" s="209"/>
      <c r="L58" s="15"/>
    </row>
    <row r="59" spans="2:12" x14ac:dyDescent="0.2">
      <c r="B59" s="209"/>
      <c r="L59" s="15"/>
    </row>
    <row r="60" spans="2:12" x14ac:dyDescent="0.2">
      <c r="B60" s="209"/>
      <c r="L60" s="15"/>
    </row>
    <row r="61" spans="2:12" x14ac:dyDescent="0.2">
      <c r="B61" s="209"/>
      <c r="L61" s="15"/>
    </row>
    <row r="62" spans="2:12" x14ac:dyDescent="0.2">
      <c r="B62" s="209"/>
      <c r="L62" s="15"/>
    </row>
    <row r="63" spans="2:12" x14ac:dyDescent="0.2">
      <c r="B63" s="209"/>
      <c r="L63" s="15"/>
    </row>
    <row r="64" spans="2:12" x14ac:dyDescent="0.2">
      <c r="B64" s="209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ht="16" thickBot="1" x14ac:dyDescent="0.25">
      <c r="B67" s="217"/>
      <c r="C67" s="19"/>
      <c r="D67" s="19"/>
      <c r="E67" s="19"/>
      <c r="F67" s="19"/>
      <c r="G67" s="19"/>
      <c r="H67" s="19"/>
      <c r="I67" s="19"/>
      <c r="J67" s="19"/>
      <c r="K67" s="19"/>
      <c r="L67" s="28"/>
    </row>
  </sheetData>
  <sheetProtection algorithmName="SHA-512" hashValue="KqdGUBSmEAH07VO1+rPcVAJ4N6iZw0wkaqmtc/WgxvCj5DYfMpy3L+eY+mHL4mxNSuJlfzhNqRREhjI2xwCccQ==" saltValue="BbykNgZEmcrA/Y178SYHkg==" spinCount="100000" sheet="1" objects="1" scenarios="1"/>
  <mergeCells count="8">
    <mergeCell ref="I34:L34"/>
    <mergeCell ref="G36:I36"/>
    <mergeCell ref="B2:L2"/>
    <mergeCell ref="B3:L3"/>
    <mergeCell ref="F32:G32"/>
    <mergeCell ref="I32:L32"/>
    <mergeCell ref="F33:G33"/>
    <mergeCell ref="I33:L33"/>
  </mergeCells>
  <pageMargins left="0.7" right="0.7" top="0.75" bottom="0.75" header="0.3" footer="0.3"/>
  <pageSetup paperSize="9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68"/>
  <sheetViews>
    <sheetView showGridLines="0" zoomScale="69" workbookViewId="0">
      <selection activeCell="A13" sqref="A13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6384" width="10.83203125" style="1"/>
  </cols>
  <sheetData>
    <row r="1" spans="2:12" ht="25" x14ac:dyDescent="0.2">
      <c r="B1" s="622" t="s">
        <v>93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2" s="34" customFormat="1" ht="20" x14ac:dyDescent="0.25">
      <c r="B2" s="623" t="str">
        <f>+ROUND(C32,1)&amp;""""&amp;" "&amp;F32&amp;" Aspect Ratio"</f>
        <v>133,9" 1,78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2:12" s="34" customFormat="1" ht="20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34" customFormat="1" ht="20" x14ac:dyDescent="0.25">
      <c r="B5" s="59"/>
      <c r="C5" s="59"/>
      <c r="D5" s="59"/>
      <c r="E5" s="59"/>
      <c r="F5" s="450">
        <f>F33</f>
        <v>3750</v>
      </c>
      <c r="G5" s="59"/>
      <c r="H5" s="59"/>
      <c r="I5" s="59"/>
      <c r="J5" s="59"/>
      <c r="K5" s="59"/>
      <c r="L5" s="60">
        <f>+D37</f>
        <v>252</v>
      </c>
    </row>
    <row r="6" spans="2:12" s="2" customFormat="1" ht="16" customHeight="1" x14ac:dyDescent="0.3">
      <c r="B6" s="61"/>
      <c r="C6" s="61"/>
      <c r="D6" s="61"/>
      <c r="E6" s="61"/>
      <c r="G6" s="35"/>
      <c r="H6" s="61"/>
      <c r="I6" s="61"/>
      <c r="J6" s="61"/>
      <c r="K6" s="61"/>
      <c r="L6" s="36"/>
    </row>
    <row r="7" spans="2:12" x14ac:dyDescent="0.2">
      <c r="K7" s="350">
        <f>+G33</f>
        <v>147</v>
      </c>
    </row>
    <row r="9" spans="2:12" x14ac:dyDescent="0.2">
      <c r="C9" s="97"/>
      <c r="D9" s="97"/>
      <c r="E9" s="97"/>
      <c r="F9" s="97"/>
      <c r="G9" s="97"/>
      <c r="H9" s="97"/>
      <c r="I9" s="97"/>
      <c r="J9" s="97"/>
      <c r="K9" s="38"/>
    </row>
    <row r="10" spans="2:12" x14ac:dyDescent="0.2">
      <c r="B10" s="560">
        <f>+F34</f>
        <v>128</v>
      </c>
      <c r="C10" s="97"/>
      <c r="D10" s="97"/>
      <c r="E10" s="97"/>
      <c r="F10" s="98"/>
      <c r="G10" s="97"/>
      <c r="H10" s="97"/>
      <c r="I10" s="97"/>
      <c r="J10" s="97"/>
    </row>
    <row r="11" spans="2:12" x14ac:dyDescent="0.2">
      <c r="B11" s="35"/>
    </row>
    <row r="16" spans="2:12" x14ac:dyDescent="0.2">
      <c r="F16" s="66"/>
      <c r="G16" s="4"/>
    </row>
    <row r="17" spans="2:13" x14ac:dyDescent="0.2">
      <c r="F17" s="67"/>
      <c r="K17" s="5">
        <f>+D35</f>
        <v>2255.1123595505615</v>
      </c>
      <c r="M17" s="40">
        <f>D20+B10+B28</f>
        <v>2108.1123595505615</v>
      </c>
    </row>
    <row r="18" spans="2:13" x14ac:dyDescent="0.2">
      <c r="K18" s="39"/>
      <c r="M18" s="41"/>
    </row>
    <row r="20" spans="2:13" ht="32" x14ac:dyDescent="0.2">
      <c r="D20" s="60">
        <f>+D33</f>
        <v>1910.1123595505617</v>
      </c>
      <c r="F20" s="416">
        <f>+D36</f>
        <v>3899.8114346860175</v>
      </c>
      <c r="I20" s="32">
        <f>D32/2.4</f>
        <v>1416.6666666666667</v>
      </c>
    </row>
    <row r="21" spans="2:13" x14ac:dyDescent="0.2">
      <c r="D21" s="35"/>
      <c r="G21" s="35"/>
      <c r="I21" s="67"/>
    </row>
    <row r="25" spans="2:13" x14ac:dyDescent="0.2">
      <c r="F25" s="60">
        <f>+D32</f>
        <v>3400</v>
      </c>
    </row>
    <row r="26" spans="2:13" x14ac:dyDescent="0.2">
      <c r="F26" s="39"/>
    </row>
    <row r="28" spans="2:13" x14ac:dyDescent="0.2">
      <c r="B28" s="42">
        <v>70</v>
      </c>
    </row>
    <row r="30" spans="2:13" ht="38" customHeight="1" thickBot="1" x14ac:dyDescent="0.25">
      <c r="F30" s="44">
        <f>+F36</f>
        <v>3702</v>
      </c>
      <c r="G30" s="36"/>
    </row>
    <row r="31" spans="2:13" x14ac:dyDescent="0.2">
      <c r="B31" s="6"/>
      <c r="C31" s="7" t="s">
        <v>3</v>
      </c>
      <c r="D31" s="68" t="s">
        <v>4</v>
      </c>
      <c r="E31" s="9" t="s">
        <v>5</v>
      </c>
      <c r="F31" s="692" t="s">
        <v>28</v>
      </c>
      <c r="G31" s="693"/>
      <c r="H31" s="9" t="s">
        <v>6</v>
      </c>
      <c r="I31" s="585">
        <f ca="1">NOW()</f>
        <v>46062.500802662034</v>
      </c>
      <c r="J31" s="585"/>
      <c r="K31" s="585"/>
      <c r="L31" s="586"/>
    </row>
    <row r="32" spans="2:13" s="109" customFormat="1" ht="40" customHeight="1" x14ac:dyDescent="0.2">
      <c r="B32" s="150" t="s">
        <v>7</v>
      </c>
      <c r="C32" s="173">
        <f t="shared" ref="C32:C37" si="0">+D32/$F$37</f>
        <v>133.85826771653544</v>
      </c>
      <c r="D32" s="451">
        <v>3400</v>
      </c>
      <c r="E32" s="153" t="s">
        <v>8</v>
      </c>
      <c r="F32" s="694">
        <v>1.78</v>
      </c>
      <c r="G32" s="695"/>
      <c r="H32" s="153" t="s">
        <v>9</v>
      </c>
      <c r="I32" s="626"/>
      <c r="J32" s="626"/>
      <c r="K32" s="626"/>
      <c r="L32" s="627"/>
    </row>
    <row r="33" spans="2:12" x14ac:dyDescent="0.2">
      <c r="B33" s="10" t="s">
        <v>10</v>
      </c>
      <c r="C33" s="45">
        <f t="shared" si="0"/>
        <v>75.201273998053608</v>
      </c>
      <c r="D33" s="70">
        <f>+D32/F32</f>
        <v>1910.1123595505617</v>
      </c>
      <c r="E33" s="12" t="s">
        <v>74</v>
      </c>
      <c r="F33" s="70">
        <f>D32+350</f>
        <v>3750</v>
      </c>
      <c r="G33" s="70">
        <v>147</v>
      </c>
      <c r="H33" s="12" t="s">
        <v>13</v>
      </c>
      <c r="I33" s="619"/>
      <c r="J33" s="620"/>
      <c r="K33" s="620"/>
      <c r="L33" s="621"/>
    </row>
    <row r="34" spans="2:12" ht="40" customHeight="1" x14ac:dyDescent="0.2">
      <c r="B34" s="10" t="s">
        <v>14</v>
      </c>
      <c r="C34" s="45">
        <f t="shared" si="0"/>
        <v>147.63779527559055</v>
      </c>
      <c r="D34" s="71">
        <f>F33</f>
        <v>3750</v>
      </c>
      <c r="E34" s="12" t="s">
        <v>75</v>
      </c>
      <c r="F34" s="451">
        <v>128</v>
      </c>
      <c r="G34" s="46" t="s">
        <v>94</v>
      </c>
      <c r="H34" s="47"/>
      <c r="I34" s="64"/>
      <c r="L34" s="15"/>
    </row>
    <row r="35" spans="2:12" ht="40" customHeight="1" x14ac:dyDescent="0.2">
      <c r="B35" s="10" t="s">
        <v>18</v>
      </c>
      <c r="C35" s="45">
        <f t="shared" si="0"/>
        <v>88.783951163407934</v>
      </c>
      <c r="D35" s="71">
        <f>+D33+K7+B10+70</f>
        <v>2255.1123595505615</v>
      </c>
      <c r="E35" s="12" t="s">
        <v>19</v>
      </c>
      <c r="F35" s="452" t="s">
        <v>76</v>
      </c>
      <c r="G35" s="690" t="s">
        <v>88</v>
      </c>
      <c r="H35" s="691"/>
      <c r="I35" s="691"/>
      <c r="L35" s="15"/>
    </row>
    <row r="36" spans="2:12" x14ac:dyDescent="0.2">
      <c r="B36" s="10" t="s">
        <v>21</v>
      </c>
      <c r="C36" s="45">
        <f t="shared" si="0"/>
        <v>153.53588325535503</v>
      </c>
      <c r="D36" s="71">
        <f>SQRT((D32^2)+(D33^2))</f>
        <v>3899.8114346860175</v>
      </c>
      <c r="E36" s="12" t="s">
        <v>77</v>
      </c>
      <c r="F36" s="74">
        <f>302+D32</f>
        <v>3702</v>
      </c>
      <c r="G36" s="16" t="s">
        <v>92</v>
      </c>
      <c r="L36" s="15"/>
    </row>
    <row r="37" spans="2:12" ht="16" thickBot="1" x14ac:dyDescent="0.25">
      <c r="B37" s="17" t="s">
        <v>23</v>
      </c>
      <c r="C37" s="49">
        <f t="shared" si="0"/>
        <v>9.9212598425196852</v>
      </c>
      <c r="D37" s="75">
        <v>252</v>
      </c>
      <c r="E37" s="18" t="s">
        <v>24</v>
      </c>
      <c r="F37" s="76">
        <v>25.4</v>
      </c>
      <c r="G37" s="96" t="s">
        <v>95</v>
      </c>
      <c r="H37" s="19"/>
      <c r="I37" s="19"/>
      <c r="J37" s="19"/>
      <c r="K37" s="19"/>
      <c r="L37" s="28" t="s">
        <v>67</v>
      </c>
    </row>
    <row r="38" spans="2:12" x14ac:dyDescent="0.2">
      <c r="B38" s="86"/>
      <c r="C38" s="352"/>
      <c r="D38" s="455"/>
      <c r="E38" s="86"/>
      <c r="F38" s="456"/>
      <c r="G38" s="457"/>
    </row>
    <row r="39" spans="2:12" ht="17" thickBot="1" x14ac:dyDescent="0.25">
      <c r="B39" s="696" t="s">
        <v>301</v>
      </c>
      <c r="C39" s="670"/>
      <c r="D39" s="670"/>
      <c r="E39" s="670"/>
      <c r="F39" s="456"/>
      <c r="G39" s="457"/>
    </row>
    <row r="40" spans="2:12" x14ac:dyDescent="0.2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customHeight="1" x14ac:dyDescent="0.2">
      <c r="B41" s="209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15"/>
    </row>
    <row r="42" spans="2:12" ht="7" customHeight="1" x14ac:dyDescent="0.2">
      <c r="B42" s="225"/>
      <c r="C42" s="54"/>
      <c r="L42" s="15"/>
    </row>
    <row r="43" spans="2:12" ht="16" customHeight="1" x14ac:dyDescent="0.2">
      <c r="B43" s="209"/>
      <c r="C43" s="219"/>
      <c r="D43" s="322" t="s">
        <v>27</v>
      </c>
      <c r="E43" s="322" t="s">
        <v>3</v>
      </c>
      <c r="F43" s="322" t="s">
        <v>4</v>
      </c>
      <c r="L43" s="15"/>
    </row>
    <row r="44" spans="2:12" ht="16" customHeight="1" x14ac:dyDescent="0.2">
      <c r="B44" s="209"/>
      <c r="C44" s="219" t="s">
        <v>29</v>
      </c>
      <c r="D44" s="323" t="s">
        <v>30</v>
      </c>
      <c r="E44" s="144">
        <v>120</v>
      </c>
      <c r="F44" s="144">
        <f>E44*25.4</f>
        <v>3048</v>
      </c>
      <c r="L44" s="15"/>
    </row>
    <row r="45" spans="2:12" x14ac:dyDescent="0.2">
      <c r="B45" s="209"/>
      <c r="L45" s="15"/>
    </row>
    <row r="46" spans="2:12" x14ac:dyDescent="0.2">
      <c r="B46" s="209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x14ac:dyDescent="0.2">
      <c r="B47" s="225"/>
      <c r="C47" s="1" t="s">
        <v>97</v>
      </c>
      <c r="L47" s="15"/>
    </row>
    <row r="48" spans="2:12" x14ac:dyDescent="0.2">
      <c r="B48" s="209"/>
      <c r="L48" s="15"/>
    </row>
    <row r="49" spans="2:12" x14ac:dyDescent="0.2">
      <c r="B49" s="209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15"/>
    </row>
    <row r="50" spans="2:12" x14ac:dyDescent="0.2">
      <c r="B50" s="209"/>
      <c r="C50" s="51"/>
      <c r="L50" s="15"/>
    </row>
    <row r="51" spans="2:12" x14ac:dyDescent="0.2">
      <c r="B51" s="225"/>
      <c r="C51" s="220" t="s">
        <v>38</v>
      </c>
      <c r="D51" s="324">
        <f>IF(C32&gt;199,2,1)</f>
        <v>1</v>
      </c>
      <c r="E51" s="143"/>
      <c r="L51" s="15"/>
    </row>
    <row r="52" spans="2:12" ht="14" customHeight="1" x14ac:dyDescent="0.2">
      <c r="B52" s="209"/>
      <c r="C52" s="220" t="s">
        <v>39</v>
      </c>
      <c r="D52" s="418">
        <f>+F33+100</f>
        <v>3850</v>
      </c>
      <c r="E52" s="324" t="s">
        <v>4</v>
      </c>
      <c r="L52" s="15"/>
    </row>
    <row r="53" spans="2:12" x14ac:dyDescent="0.2">
      <c r="B53" s="209"/>
      <c r="C53" s="220" t="s">
        <v>41</v>
      </c>
      <c r="D53" s="419">
        <v>250</v>
      </c>
      <c r="E53" s="324" t="s">
        <v>4</v>
      </c>
      <c r="L53" s="15"/>
    </row>
    <row r="54" spans="2:12" x14ac:dyDescent="0.2">
      <c r="B54" s="209"/>
      <c r="C54" s="220" t="s">
        <v>81</v>
      </c>
      <c r="D54" s="419">
        <v>500</v>
      </c>
      <c r="E54" s="324" t="s">
        <v>4</v>
      </c>
      <c r="L54" s="15"/>
    </row>
    <row r="55" spans="2:12" x14ac:dyDescent="0.2">
      <c r="B55" s="209"/>
      <c r="C55" s="220" t="s">
        <v>43</v>
      </c>
      <c r="D55" s="273">
        <f>IF(C32&lt;140,C32*0.5,C32*0.5)</f>
        <v>66.929133858267718</v>
      </c>
      <c r="E55" s="324" t="s">
        <v>44</v>
      </c>
      <c r="L55" s="15"/>
    </row>
    <row r="56" spans="2:12" x14ac:dyDescent="0.2">
      <c r="B56" s="209"/>
      <c r="C56" s="458"/>
      <c r="L56" s="15"/>
    </row>
    <row r="57" spans="2:12" x14ac:dyDescent="0.2">
      <c r="B57" s="209"/>
      <c r="C57" s="459"/>
      <c r="L57" s="15"/>
    </row>
    <row r="58" spans="2:12" x14ac:dyDescent="0.2">
      <c r="B58" s="209"/>
      <c r="L58" s="15"/>
    </row>
    <row r="59" spans="2:12" x14ac:dyDescent="0.2">
      <c r="B59" s="209"/>
      <c r="L59" s="15"/>
    </row>
    <row r="60" spans="2:12" x14ac:dyDescent="0.2">
      <c r="B60" s="209"/>
      <c r="L60" s="15"/>
    </row>
    <row r="61" spans="2:12" x14ac:dyDescent="0.2">
      <c r="B61" s="209"/>
      <c r="L61" s="15"/>
    </row>
    <row r="62" spans="2:12" x14ac:dyDescent="0.2">
      <c r="B62" s="209"/>
      <c r="L62" s="15"/>
    </row>
    <row r="63" spans="2:12" x14ac:dyDescent="0.2">
      <c r="B63" s="209"/>
      <c r="L63" s="15"/>
    </row>
    <row r="64" spans="2:12" x14ac:dyDescent="0.2">
      <c r="B64" s="209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x14ac:dyDescent="0.2">
      <c r="B67" s="209"/>
      <c r="L67" s="15"/>
    </row>
    <row r="68" spans="2:12" ht="16" thickBot="1" x14ac:dyDescent="0.25">
      <c r="B68" s="217"/>
      <c r="C68" s="19"/>
      <c r="D68" s="19"/>
      <c r="E68" s="19"/>
      <c r="F68" s="19"/>
      <c r="G68" s="19"/>
      <c r="H68" s="19"/>
      <c r="I68" s="19"/>
      <c r="J68" s="19"/>
      <c r="K68" s="19"/>
      <c r="L68" s="28"/>
    </row>
  </sheetData>
  <sheetProtection algorithmName="SHA-512" hashValue="ITDXFy0XY4x3MZxcX3givAMN3NQWnL+KGCo9o+XCKNoDrZexR6G/7vOh1zgjJtSCAzKJQOlasXoTrkcEdJwEjQ==" saltValue="pr0EPaFDTw3hUqJ9sCrG2A==" spinCount="100000" sheet="1" objects="1" scenarios="1"/>
  <mergeCells count="9">
    <mergeCell ref="B39:E39"/>
    <mergeCell ref="G35:I35"/>
    <mergeCell ref="I33:L33"/>
    <mergeCell ref="B1:L1"/>
    <mergeCell ref="B2:L2"/>
    <mergeCell ref="F31:G31"/>
    <mergeCell ref="I31:L31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485D-F85D-634C-BC89-CE67395FDA3A}">
  <sheetPr>
    <pageSetUpPr fitToPage="1"/>
  </sheetPr>
  <dimension ref="A1:L55"/>
  <sheetViews>
    <sheetView showGridLines="0" zoomScaleNormal="100" workbookViewId="0">
      <selection activeCell="O14" sqref="O14"/>
    </sheetView>
  </sheetViews>
  <sheetFormatPr baseColWidth="10" defaultColWidth="10.83203125" defaultRowHeight="15" x14ac:dyDescent="0.2"/>
  <cols>
    <col min="1" max="1" width="10" style="1" customWidth="1"/>
    <col min="2" max="3" width="10.83203125" style="1"/>
    <col min="4" max="4" width="14.6640625" style="1" bestFit="1" customWidth="1"/>
    <col min="5" max="16384" width="10.83203125" style="1"/>
  </cols>
  <sheetData>
    <row r="1" spans="1:12" ht="25" x14ac:dyDescent="0.2">
      <c r="A1" s="622" t="s">
        <v>93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</row>
    <row r="2" spans="1:12" s="34" customFormat="1" ht="20" x14ac:dyDescent="0.25">
      <c r="A2" s="623" t="str">
        <f>+ROUND(B33,1)&amp;""""&amp;" "&amp;E33&amp;" Aspect Ratio"</f>
        <v>100" 1.78 Aspect Ratio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</row>
    <row r="3" spans="1:12" s="34" customFormat="1" ht="20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88">
        <f>+C38</f>
        <v>252</v>
      </c>
    </row>
    <row r="4" spans="1:12" s="2" customFormat="1" ht="16" customHeight="1" x14ac:dyDescent="0.3">
      <c r="A4" s="61"/>
      <c r="B4" s="61"/>
      <c r="C4" s="61"/>
      <c r="D4" s="61"/>
      <c r="E4" s="30">
        <f>E34</f>
        <v>2890</v>
      </c>
      <c r="F4" s="35">
        <f>+E4/$E$38</f>
        <v>113.77952755905513</v>
      </c>
      <c r="G4" s="61"/>
      <c r="H4" s="61"/>
      <c r="I4" s="61"/>
      <c r="J4" s="61"/>
      <c r="K4" s="89">
        <f>+K3/$E$38</f>
        <v>9.9212598425196852</v>
      </c>
    </row>
    <row r="6" spans="1:12" x14ac:dyDescent="0.2">
      <c r="J6" s="37">
        <f>+F34</f>
        <v>147</v>
      </c>
    </row>
    <row r="7" spans="1:12" x14ac:dyDescent="0.2">
      <c r="B7" s="97"/>
      <c r="C7" s="97"/>
      <c r="D7" s="97"/>
      <c r="E7" s="97"/>
      <c r="F7" s="97"/>
      <c r="G7" s="97"/>
      <c r="H7" s="97"/>
      <c r="I7" s="97"/>
      <c r="J7" s="38">
        <f>+J6/E38</f>
        <v>5.78740157480315</v>
      </c>
    </row>
    <row r="8" spans="1:12" x14ac:dyDescent="0.2">
      <c r="A8" s="32">
        <f>+E35</f>
        <v>210</v>
      </c>
      <c r="B8" s="97"/>
      <c r="C8" s="97"/>
      <c r="D8" s="97"/>
      <c r="E8" s="98"/>
      <c r="F8" s="97"/>
      <c r="G8" s="97"/>
      <c r="H8" s="97"/>
      <c r="I8" s="97"/>
    </row>
    <row r="9" spans="1:12" x14ac:dyDescent="0.2">
      <c r="A9" s="35">
        <f>+A8/E38</f>
        <v>8.2677165354330722</v>
      </c>
    </row>
    <row r="14" spans="1:12" x14ac:dyDescent="0.2">
      <c r="E14" s="66"/>
      <c r="F14" s="4"/>
    </row>
    <row r="15" spans="1:12" x14ac:dyDescent="0.2">
      <c r="E15" s="67"/>
      <c r="J15" s="5">
        <f>+C36</f>
        <v>1853.9662921348315</v>
      </c>
      <c r="L15" s="40">
        <f>C18+A8+A25</f>
        <v>1706.9662921348315</v>
      </c>
    </row>
    <row r="16" spans="1:12" x14ac:dyDescent="0.2">
      <c r="J16" s="38">
        <f>+J15/$E$38</f>
        <v>72.990798902946125</v>
      </c>
      <c r="L16" s="41">
        <f>+L15/$E$38</f>
        <v>67.203397328142984</v>
      </c>
    </row>
    <row r="18" spans="1:11" x14ac:dyDescent="0.2">
      <c r="C18" s="60">
        <f>+C34</f>
        <v>1426.9662921348315</v>
      </c>
      <c r="F18" s="60">
        <f>+C37</f>
        <v>2913.3885423830839</v>
      </c>
    </row>
    <row r="19" spans="1:11" x14ac:dyDescent="0.2">
      <c r="C19" s="35">
        <f>+C18/$E$38</f>
        <v>56.17977528089888</v>
      </c>
      <c r="F19" s="35">
        <f>+F18/$E$38</f>
        <v>114.70033631429465</v>
      </c>
    </row>
    <row r="23" spans="1:11" x14ac:dyDescent="0.2">
      <c r="E23" s="60">
        <f>+C33</f>
        <v>2540</v>
      </c>
    </row>
    <row r="24" spans="1:11" x14ac:dyDescent="0.2">
      <c r="E24" s="39">
        <f>+E23/$E$38</f>
        <v>100</v>
      </c>
    </row>
    <row r="25" spans="1:11" x14ac:dyDescent="0.2">
      <c r="A25" s="32">
        <v>70</v>
      </c>
    </row>
    <row r="26" spans="1:11" ht="17" customHeight="1" x14ac:dyDescent="0.2">
      <c r="A26" s="36">
        <f>A25/E38</f>
        <v>2.7559055118110236</v>
      </c>
      <c r="B26" s="65"/>
      <c r="C26" s="65"/>
      <c r="D26" s="65"/>
      <c r="E26" s="65"/>
      <c r="F26" s="65"/>
      <c r="G26" s="65"/>
      <c r="H26" s="65"/>
      <c r="I26" s="65"/>
    </row>
    <row r="27" spans="1:11" x14ac:dyDescent="0.2">
      <c r="A27" s="43"/>
      <c r="B27" s="65"/>
      <c r="C27" s="65"/>
      <c r="D27" s="65"/>
      <c r="E27" s="65"/>
      <c r="F27" s="65"/>
      <c r="G27" s="65"/>
      <c r="H27" s="65"/>
      <c r="I27" s="65"/>
    </row>
    <row r="28" spans="1:11" x14ac:dyDescent="0.2">
      <c r="A28" s="69">
        <v>300</v>
      </c>
      <c r="B28" s="65"/>
      <c r="C28" s="65"/>
      <c r="D28" s="65"/>
      <c r="E28" s="65"/>
      <c r="F28" s="65"/>
      <c r="G28" s="65"/>
      <c r="H28" s="65"/>
      <c r="I28" s="65"/>
      <c r="J28" s="37">
        <f>L15+A28</f>
        <v>2006.9662921348315</v>
      </c>
    </row>
    <row r="29" spans="1:11" x14ac:dyDescent="0.2">
      <c r="A29" s="79">
        <f>A28/25.4</f>
        <v>11.811023622047244</v>
      </c>
      <c r="B29" s="65"/>
      <c r="C29" s="65"/>
      <c r="D29" s="65"/>
      <c r="E29" s="65"/>
      <c r="F29" s="65"/>
      <c r="G29" s="65"/>
      <c r="H29" s="65"/>
      <c r="I29" s="65"/>
      <c r="J29" s="95">
        <f>J28/25.4</f>
        <v>79.014420950190228</v>
      </c>
    </row>
    <row r="30" spans="1:11" x14ac:dyDescent="0.2">
      <c r="B30" s="65"/>
      <c r="C30" s="65"/>
      <c r="D30" s="65"/>
      <c r="E30" s="65"/>
      <c r="F30" s="65"/>
      <c r="G30" s="65"/>
      <c r="H30" s="65"/>
      <c r="I30" s="65"/>
    </row>
    <row r="31" spans="1:11" ht="38" customHeight="1" thickBot="1" x14ac:dyDescent="0.25">
      <c r="E31" s="44">
        <f>+E37</f>
        <v>2842</v>
      </c>
      <c r="F31" s="36">
        <f>+E31/$E$38</f>
        <v>111.88976377952757</v>
      </c>
    </row>
    <row r="32" spans="1:11" x14ac:dyDescent="0.2">
      <c r="A32" s="6"/>
      <c r="B32" s="7" t="s">
        <v>3</v>
      </c>
      <c r="C32" s="68" t="s">
        <v>4</v>
      </c>
      <c r="D32" s="9" t="s">
        <v>5</v>
      </c>
      <c r="E32" s="692" t="s">
        <v>28</v>
      </c>
      <c r="F32" s="693"/>
      <c r="G32" s="9" t="s">
        <v>6</v>
      </c>
      <c r="H32" s="585">
        <f ca="1">NOW()</f>
        <v>46062.500802662034</v>
      </c>
      <c r="I32" s="585"/>
      <c r="J32" s="585"/>
      <c r="K32" s="586"/>
    </row>
    <row r="33" spans="1:11" x14ac:dyDescent="0.2">
      <c r="A33" s="57" t="s">
        <v>7</v>
      </c>
      <c r="B33" s="45">
        <f t="shared" ref="B33:B38" si="0">+C33/$E$38</f>
        <v>100</v>
      </c>
      <c r="C33" s="69">
        <v>2540</v>
      </c>
      <c r="D33" s="12" t="s">
        <v>8</v>
      </c>
      <c r="E33" s="697">
        <v>1.78</v>
      </c>
      <c r="F33" s="698"/>
      <c r="G33" s="12" t="s">
        <v>9</v>
      </c>
      <c r="H33" s="671"/>
      <c r="I33" s="671"/>
      <c r="J33" s="671"/>
      <c r="K33" s="672"/>
    </row>
    <row r="34" spans="1:11" x14ac:dyDescent="0.2">
      <c r="A34" s="10" t="s">
        <v>10</v>
      </c>
      <c r="B34" s="45">
        <f t="shared" si="0"/>
        <v>56.17977528089888</v>
      </c>
      <c r="C34" s="70">
        <f>+C33/E33</f>
        <v>1426.9662921348315</v>
      </c>
      <c r="D34" s="12" t="s">
        <v>74</v>
      </c>
      <c r="E34" s="70">
        <f>C33+350</f>
        <v>2890</v>
      </c>
      <c r="F34" s="70">
        <v>147</v>
      </c>
      <c r="G34" s="12" t="s">
        <v>13</v>
      </c>
      <c r="H34" s="619"/>
      <c r="I34" s="620"/>
      <c r="J34" s="620"/>
      <c r="K34" s="621"/>
    </row>
    <row r="35" spans="1:11" x14ac:dyDescent="0.2">
      <c r="A35" s="10" t="s">
        <v>14</v>
      </c>
      <c r="B35" s="45">
        <f t="shared" si="0"/>
        <v>113.77952755905513</v>
      </c>
      <c r="C35" s="71">
        <f>E34</f>
        <v>2890</v>
      </c>
      <c r="D35" s="12" t="s">
        <v>75</v>
      </c>
      <c r="E35" s="69">
        <v>210</v>
      </c>
      <c r="F35" s="46" t="s">
        <v>94</v>
      </c>
      <c r="G35" s="47"/>
      <c r="H35" s="64"/>
      <c r="K35" s="15"/>
    </row>
    <row r="36" spans="1:11" x14ac:dyDescent="0.2">
      <c r="A36" s="10" t="s">
        <v>18</v>
      </c>
      <c r="B36" s="45">
        <f t="shared" si="0"/>
        <v>72.990798902946125</v>
      </c>
      <c r="C36" s="71">
        <f>+C34+J6+A8+70</f>
        <v>1853.9662921348315</v>
      </c>
      <c r="D36" s="12" t="s">
        <v>19</v>
      </c>
      <c r="E36" s="72" t="s">
        <v>76</v>
      </c>
      <c r="F36" s="73"/>
      <c r="K36" s="15"/>
    </row>
    <row r="37" spans="1:11" x14ac:dyDescent="0.2">
      <c r="A37" s="10" t="s">
        <v>21</v>
      </c>
      <c r="B37" s="45">
        <f t="shared" si="0"/>
        <v>114.70033631429465</v>
      </c>
      <c r="C37" s="71">
        <f>SQRT((C33^2)+(C34^2))</f>
        <v>2913.3885423830839</v>
      </c>
      <c r="D37" s="12" t="s">
        <v>77</v>
      </c>
      <c r="E37" s="74">
        <f>302+C33</f>
        <v>2842</v>
      </c>
      <c r="F37" s="73"/>
      <c r="K37" s="15"/>
    </row>
    <row r="38" spans="1:11" ht="16" thickBot="1" x14ac:dyDescent="0.25">
      <c r="A38" s="17" t="s">
        <v>23</v>
      </c>
      <c r="B38" s="49">
        <f t="shared" si="0"/>
        <v>9.9212598425196852</v>
      </c>
      <c r="C38" s="75">
        <v>252</v>
      </c>
      <c r="D38" s="18" t="s">
        <v>24</v>
      </c>
      <c r="E38" s="76">
        <v>25.4</v>
      </c>
      <c r="F38" s="19"/>
      <c r="G38" s="19"/>
      <c r="H38" s="19"/>
      <c r="I38" s="19"/>
      <c r="J38" s="19"/>
      <c r="K38" s="28" t="s">
        <v>67</v>
      </c>
    </row>
    <row r="40" spans="1:11" ht="16" customHeight="1" x14ac:dyDescent="0.2">
      <c r="B40" s="50" t="s">
        <v>96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7" customHeight="1" x14ac:dyDescent="0.2">
      <c r="B41" s="54"/>
    </row>
    <row r="42" spans="1:11" ht="16" customHeight="1" x14ac:dyDescent="0.2">
      <c r="B42" s="51"/>
      <c r="C42" s="30" t="s">
        <v>27</v>
      </c>
      <c r="D42" s="30" t="s">
        <v>3</v>
      </c>
      <c r="E42" s="30" t="s">
        <v>4</v>
      </c>
    </row>
    <row r="43" spans="1:11" ht="16" customHeight="1" x14ac:dyDescent="0.2">
      <c r="B43" s="51" t="s">
        <v>29</v>
      </c>
      <c r="C43" s="53" t="s">
        <v>30</v>
      </c>
      <c r="D43" s="52">
        <v>120</v>
      </c>
      <c r="E43" s="52">
        <f>D43*25.4</f>
        <v>3048</v>
      </c>
    </row>
    <row r="45" spans="1:11" x14ac:dyDescent="0.2">
      <c r="B45" s="50" t="s">
        <v>33</v>
      </c>
      <c r="C45" s="55"/>
      <c r="D45" s="55"/>
      <c r="E45" s="55"/>
      <c r="F45" s="55"/>
      <c r="G45" s="55"/>
      <c r="H45" s="55"/>
      <c r="I45" s="55"/>
      <c r="J45" s="55"/>
      <c r="K45" s="55"/>
    </row>
    <row r="46" spans="1:11" x14ac:dyDescent="0.2">
      <c r="B46" s="1" t="s">
        <v>97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IF(B33&gt;199,2,1)</f>
        <v>1</v>
      </c>
    </row>
    <row r="50" spans="2:4" ht="14" customHeight="1" x14ac:dyDescent="0.2">
      <c r="B50" s="83" t="s">
        <v>39</v>
      </c>
      <c r="C50" s="84">
        <f>+E34+100</f>
        <v>2990</v>
      </c>
      <c r="D50" s="64" t="s">
        <v>4</v>
      </c>
    </row>
    <row r="51" spans="2:4" x14ac:dyDescent="0.2">
      <c r="B51" s="83" t="s">
        <v>41</v>
      </c>
      <c r="C51" s="85">
        <v>250</v>
      </c>
      <c r="D51" s="64" t="s">
        <v>4</v>
      </c>
    </row>
    <row r="52" spans="2:4" x14ac:dyDescent="0.2">
      <c r="B52" s="83" t="s">
        <v>81</v>
      </c>
      <c r="C52" s="85">
        <v>500</v>
      </c>
      <c r="D52" s="64" t="s">
        <v>4</v>
      </c>
    </row>
    <row r="53" spans="2:4" x14ac:dyDescent="0.2">
      <c r="B53" s="83" t="s">
        <v>43</v>
      </c>
      <c r="C53" s="42">
        <f>IF(B33&lt;140,B33*0.5,B33*0.5)</f>
        <v>50</v>
      </c>
      <c r="D53" s="64" t="s">
        <v>44</v>
      </c>
    </row>
    <row r="54" spans="2:4" x14ac:dyDescent="0.2">
      <c r="B54" s="77"/>
    </row>
    <row r="55" spans="2:4" x14ac:dyDescent="0.2">
      <c r="B55" s="78"/>
    </row>
  </sheetData>
  <mergeCells count="7">
    <mergeCell ref="H34:K34"/>
    <mergeCell ref="A1:K1"/>
    <mergeCell ref="A2:K2"/>
    <mergeCell ref="E32:F32"/>
    <mergeCell ref="H32:K32"/>
    <mergeCell ref="E33:F33"/>
    <mergeCell ref="H33:K33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L73"/>
  <sheetViews>
    <sheetView showGridLines="0" workbookViewId="0">
      <selection activeCell="J35" sqref="J35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4" width="10.83203125" style="109"/>
    <col min="5" max="5" width="11.6640625" style="109" customWidth="1"/>
    <col min="6" max="11" width="10.83203125" style="109"/>
    <col min="12" max="12" width="12.83203125" style="109" customWidth="1"/>
    <col min="13" max="16384" width="10.83203125" style="109"/>
  </cols>
  <sheetData>
    <row r="2" spans="2:12" ht="35" customHeight="1" x14ac:dyDescent="0.2">
      <c r="B2" s="622" t="s">
        <v>98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145" customFormat="1" ht="35" customHeight="1" x14ac:dyDescent="0.3">
      <c r="B3" s="623" t="str">
        <f>+ROUND(C32,0)&amp;""""&amp;" "&amp;F32&amp;" Aspect Ratio"</f>
        <v>140" 1,78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2" s="145" customFormat="1" ht="35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145" customFormat="1" ht="35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5" x14ac:dyDescent="0.3">
      <c r="B10" s="1"/>
      <c r="C10" s="1"/>
      <c r="D10" s="1"/>
      <c r="E10" s="1"/>
      <c r="F10" s="702"/>
      <c r="G10" s="703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704" t="s">
        <v>294</v>
      </c>
      <c r="G11" s="670"/>
      <c r="H11" s="1"/>
      <c r="I11" s="1"/>
      <c r="J11" s="1"/>
      <c r="K11" s="1"/>
      <c r="L11" s="1"/>
    </row>
    <row r="12" spans="2:12" x14ac:dyDescent="0.2">
      <c r="B12" s="1"/>
      <c r="C12" s="1"/>
      <c r="D12" s="1"/>
      <c r="E12" s="1"/>
      <c r="F12" s="670"/>
      <c r="G12" s="670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60">
        <f>+D32</f>
        <v>3556</v>
      </c>
      <c r="G14" s="1"/>
      <c r="H14" s="1"/>
      <c r="I14" s="1"/>
      <c r="J14" s="1"/>
      <c r="K14" s="1"/>
      <c r="L14" s="1"/>
    </row>
    <row r="15" spans="2:12" x14ac:dyDescent="0.2">
      <c r="B15" s="1"/>
      <c r="C15" s="1"/>
      <c r="D15" s="1"/>
      <c r="E15" s="1"/>
      <c r="F15" s="3"/>
      <c r="G15" s="4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5">
        <f>+D35</f>
        <v>2205.7528089887637</v>
      </c>
      <c r="L16" s="1"/>
    </row>
    <row r="17" spans="2:12" x14ac:dyDescent="0.2">
      <c r="B17" s="1"/>
      <c r="C17" s="1"/>
      <c r="D17" s="1"/>
      <c r="E17" s="60">
        <f>+D33</f>
        <v>1997.7528089887639</v>
      </c>
      <c r="F17" s="1"/>
      <c r="G17" s="1"/>
      <c r="H17" s="1"/>
      <c r="I17" s="1"/>
      <c r="J17" s="1"/>
      <c r="K17" s="3"/>
      <c r="L17" s="1"/>
    </row>
    <row r="18" spans="2:12" x14ac:dyDescent="0.2">
      <c r="B18" s="1"/>
      <c r="C18" s="1"/>
      <c r="D18" s="1"/>
      <c r="E18" s="90"/>
      <c r="F18" s="1"/>
      <c r="G18" s="1"/>
      <c r="H18" s="1"/>
      <c r="I18" s="42">
        <f>+F34</f>
        <v>1481.6666666666667</v>
      </c>
      <c r="J18" s="1"/>
      <c r="K18" s="1"/>
      <c r="L18" s="1"/>
    </row>
    <row r="19" spans="2:12" ht="31" x14ac:dyDescent="0.2">
      <c r="B19" s="1"/>
      <c r="C19" s="1"/>
      <c r="D19" s="1"/>
      <c r="E19" s="1"/>
      <c r="F19" s="561">
        <f>+D36</f>
        <v>4078.7439593363169</v>
      </c>
      <c r="G19" s="1"/>
      <c r="H19" s="1"/>
      <c r="I19" s="90"/>
      <c r="J19" s="1"/>
      <c r="K19" s="1"/>
      <c r="L19" s="1"/>
    </row>
    <row r="20" spans="2:12" x14ac:dyDescent="0.2">
      <c r="B20" s="1"/>
      <c r="C20" s="1"/>
      <c r="D20" s="1"/>
      <c r="E20" s="1"/>
      <c r="F20" s="114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62"/>
      <c r="G22" s="1"/>
      <c r="H22" s="1"/>
      <c r="I22" s="1"/>
      <c r="J22" s="1"/>
      <c r="K22" s="1"/>
      <c r="L22" s="1"/>
    </row>
    <row r="23" spans="2:12" x14ac:dyDescent="0.2">
      <c r="B23" s="1"/>
      <c r="C23" s="1"/>
      <c r="D23" s="1"/>
      <c r="E23" s="1"/>
      <c r="F23" s="3"/>
      <c r="G23" s="1"/>
      <c r="H23" s="1"/>
      <c r="I23" s="1"/>
      <c r="J23" s="1"/>
      <c r="K23" s="1"/>
      <c r="L23" s="1"/>
    </row>
    <row r="24" spans="2:12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6" x14ac:dyDescent="0.2">
      <c r="B2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60">
        <f>+D38</f>
        <v>145</v>
      </c>
    </row>
    <row r="29" spans="2:12" x14ac:dyDescent="0.2">
      <c r="B29" s="1"/>
      <c r="C29" s="1"/>
      <c r="D29" s="1"/>
      <c r="E29" s="1"/>
      <c r="F29" s="30">
        <f>+D34</f>
        <v>3744</v>
      </c>
      <c r="G29" s="1"/>
      <c r="H29" s="1"/>
      <c r="I29" s="1"/>
      <c r="J29" s="1"/>
      <c r="K29" s="1"/>
      <c r="L29" s="90"/>
    </row>
    <row r="30" spans="2:12" ht="16" thickBot="1" x14ac:dyDescent="0.25">
      <c r="B30" s="1"/>
      <c r="C30" s="1"/>
      <c r="D30" s="1"/>
      <c r="E30" s="1"/>
      <c r="F30" s="90"/>
      <c r="G30" s="1"/>
      <c r="H30" s="1"/>
      <c r="I30" s="1"/>
      <c r="J30" s="1"/>
      <c r="K30" s="1"/>
      <c r="L30" s="1"/>
    </row>
    <row r="31" spans="2:12" x14ac:dyDescent="0.2">
      <c r="B31" s="6"/>
      <c r="C31" s="7" t="s">
        <v>3</v>
      </c>
      <c r="D31" s="156" t="s">
        <v>4</v>
      </c>
      <c r="E31" s="9" t="s">
        <v>5</v>
      </c>
      <c r="F31" s="583" t="s">
        <v>99</v>
      </c>
      <c r="G31" s="584"/>
      <c r="H31" s="9" t="s">
        <v>6</v>
      </c>
      <c r="I31" s="585">
        <f ca="1">NOW()</f>
        <v>46062.500802662034</v>
      </c>
      <c r="J31" s="585"/>
      <c r="K31" s="585"/>
      <c r="L31" s="586"/>
    </row>
    <row r="32" spans="2:12" ht="40" customHeight="1" x14ac:dyDescent="0.2">
      <c r="B32" s="150" t="s">
        <v>7</v>
      </c>
      <c r="C32" s="166">
        <f t="shared" ref="C32:C38" si="0">+D32/$F$38</f>
        <v>140</v>
      </c>
      <c r="D32" s="269">
        <v>3556</v>
      </c>
      <c r="E32" s="152" t="s">
        <v>8</v>
      </c>
      <c r="F32" s="587">
        <v>1.78</v>
      </c>
      <c r="G32" s="588"/>
      <c r="H32" s="153" t="s">
        <v>9</v>
      </c>
      <c r="I32" s="626"/>
      <c r="J32" s="626"/>
      <c r="K32" s="626"/>
      <c r="L32" s="627"/>
    </row>
    <row r="33" spans="2:12" ht="40" customHeight="1" x14ac:dyDescent="0.2">
      <c r="B33" s="10" t="s">
        <v>10</v>
      </c>
      <c r="C33" s="167">
        <f t="shared" si="0"/>
        <v>78.651685393258433</v>
      </c>
      <c r="D33" s="121">
        <f>+D32/F32</f>
        <v>1997.7528089887639</v>
      </c>
      <c r="E33" s="12" t="s">
        <v>11</v>
      </c>
      <c r="F33" s="700">
        <v>2.4</v>
      </c>
      <c r="G33" s="701"/>
      <c r="H33" s="12" t="s">
        <v>13</v>
      </c>
      <c r="I33" s="619"/>
      <c r="J33" s="620"/>
      <c r="K33" s="620"/>
      <c r="L33" s="621"/>
    </row>
    <row r="34" spans="2:12" ht="18" customHeight="1" x14ac:dyDescent="0.2">
      <c r="B34" s="10" t="s">
        <v>14</v>
      </c>
      <c r="C34" s="167">
        <f t="shared" si="0"/>
        <v>147.40157480314963</v>
      </c>
      <c r="D34" s="124">
        <f>+D32+(2*F37)</f>
        <v>3744</v>
      </c>
      <c r="E34" s="12" t="s">
        <v>100</v>
      </c>
      <c r="F34" s="174">
        <f>+D32/F33</f>
        <v>1481.6666666666667</v>
      </c>
      <c r="G34" s="1" t="s">
        <v>16</v>
      </c>
      <c r="H34" s="1"/>
      <c r="I34" s="1"/>
      <c r="J34" s="1"/>
      <c r="K34" s="1"/>
      <c r="L34" s="15"/>
    </row>
    <row r="35" spans="2:12" ht="40" customHeight="1" x14ac:dyDescent="0.2">
      <c r="B35" s="10" t="s">
        <v>18</v>
      </c>
      <c r="C35" s="167">
        <f t="shared" si="0"/>
        <v>86.840661771211174</v>
      </c>
      <c r="D35" s="124">
        <f>+D33+F36+F37</f>
        <v>2205.7528089887637</v>
      </c>
      <c r="E35" s="12" t="s">
        <v>19</v>
      </c>
      <c r="F35" s="460" t="s">
        <v>317</v>
      </c>
      <c r="G35" s="16"/>
      <c r="H35" s="1"/>
      <c r="I35" s="1"/>
      <c r="J35" s="1"/>
      <c r="K35" s="1"/>
      <c r="L35" s="15"/>
    </row>
    <row r="36" spans="2:12" ht="18" customHeight="1" x14ac:dyDescent="0.2">
      <c r="B36" s="10" t="s">
        <v>21</v>
      </c>
      <c r="C36" s="167">
        <f t="shared" si="0"/>
        <v>160.58047084001248</v>
      </c>
      <c r="D36" s="124">
        <f>SQRT((D32^2)+(D33^2))</f>
        <v>4078.7439593363169</v>
      </c>
      <c r="E36" s="184" t="s">
        <v>135</v>
      </c>
      <c r="F36" s="52" t="str">
        <f>IF(C32&lt;=141,"114",IF(C32&lt;=220,"200"))</f>
        <v>114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85"/>
      <c r="C37" s="186"/>
      <c r="D37" s="187"/>
      <c r="E37" s="12" t="s">
        <v>22</v>
      </c>
      <c r="F37" s="128">
        <f>IF(C32&lt;150,94,200)</f>
        <v>94</v>
      </c>
      <c r="G37" s="1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5.7086614173228352</v>
      </c>
      <c r="D38" s="130">
        <f>IF(F37=94,145,200)</f>
        <v>145</v>
      </c>
      <c r="E38" s="18" t="s">
        <v>24</v>
      </c>
      <c r="F38" s="132">
        <v>25.4</v>
      </c>
      <c r="G38" s="19"/>
      <c r="H38" s="19"/>
      <c r="I38" s="19"/>
      <c r="J38" s="19"/>
      <c r="K38" s="19"/>
      <c r="L38" s="423" t="s">
        <v>67</v>
      </c>
    </row>
    <row r="39" spans="2:12" ht="18" customHeight="1" thickBot="1" x14ac:dyDescent="0.25">
      <c r="B39" s="86"/>
      <c r="C39" s="90"/>
      <c r="D39" s="353"/>
      <c r="E39" s="86"/>
      <c r="F39" s="354"/>
      <c r="G39" s="1"/>
      <c r="H39" s="1"/>
      <c r="I39" s="1"/>
      <c r="J39" s="1"/>
      <c r="K39" s="1"/>
      <c r="L39" s="1"/>
    </row>
    <row r="40" spans="2:12" ht="18" customHeight="1" thickBot="1" x14ac:dyDescent="0.25">
      <c r="B40" s="328"/>
      <c r="C40" s="329"/>
      <c r="D40" s="466"/>
      <c r="E40" s="331"/>
      <c r="F40" s="363"/>
      <c r="G40" s="207"/>
      <c r="H40" s="207"/>
      <c r="I40" s="207"/>
      <c r="J40" s="207"/>
      <c r="K40" s="207"/>
      <c r="L40" s="208"/>
    </row>
    <row r="41" spans="2:12" ht="18" customHeight="1" thickBot="1" x14ac:dyDescent="0.25">
      <c r="B41" s="608" t="s">
        <v>169</v>
      </c>
      <c r="C41" s="1"/>
      <c r="D41" s="1"/>
      <c r="E41" s="1"/>
      <c r="F41" s="354"/>
      <c r="G41" s="1"/>
      <c r="H41" s="1"/>
      <c r="I41" s="1"/>
      <c r="J41" s="1"/>
      <c r="K41" s="1"/>
      <c r="L41" s="15"/>
    </row>
    <row r="42" spans="2:12" ht="18" customHeight="1" thickBot="1" x14ac:dyDescent="0.25">
      <c r="B42" s="609"/>
      <c r="C42" s="1" t="s">
        <v>177</v>
      </c>
      <c r="D42" s="83"/>
      <c r="E42" s="342" t="s">
        <v>302</v>
      </c>
      <c r="F42" s="354"/>
      <c r="G42" s="1"/>
      <c r="H42" s="1"/>
      <c r="I42" s="1"/>
      <c r="J42" s="1"/>
      <c r="K42" s="1"/>
      <c r="L42" s="15"/>
    </row>
    <row r="43" spans="2:12" ht="16" thickBot="1" x14ac:dyDescent="0.25">
      <c r="B43" s="610"/>
      <c r="C43" s="1" t="s">
        <v>178</v>
      </c>
      <c r="D43" s="83"/>
      <c r="E43" s="342"/>
      <c r="F43" s="1"/>
      <c r="G43" s="1"/>
      <c r="H43" s="1"/>
      <c r="I43" s="1"/>
      <c r="J43" s="1"/>
      <c r="K43" s="1"/>
      <c r="L43" s="15"/>
    </row>
    <row r="44" spans="2:12" ht="21" x14ac:dyDescent="0.2">
      <c r="B44" s="467"/>
      <c r="C44" s="1"/>
      <c r="D44" s="83"/>
      <c r="E44" s="422"/>
      <c r="F44" s="1"/>
      <c r="G44" s="1"/>
      <c r="H44" s="1"/>
      <c r="I44" s="1"/>
      <c r="J44" s="1"/>
      <c r="K44" s="1"/>
      <c r="L44" s="15"/>
    </row>
    <row r="45" spans="2:12" x14ac:dyDescent="0.2">
      <c r="B45" s="209"/>
      <c r="C45" s="50" t="s">
        <v>101</v>
      </c>
      <c r="D45" s="50"/>
      <c r="E45" s="50"/>
      <c r="F45" s="50"/>
      <c r="G45" s="50"/>
      <c r="H45" s="50"/>
      <c r="I45" s="50"/>
      <c r="J45" s="50"/>
      <c r="K45" s="50"/>
      <c r="L45" s="468"/>
    </row>
    <row r="46" spans="2:12" x14ac:dyDescent="0.2">
      <c r="B46" s="225"/>
      <c r="C46" s="51"/>
      <c r="D46" s="51"/>
      <c r="E46" s="51"/>
      <c r="F46" s="51"/>
      <c r="G46" s="51"/>
      <c r="H46" s="51"/>
      <c r="I46" s="51"/>
      <c r="J46" s="51"/>
      <c r="K46" s="51"/>
      <c r="L46" s="469"/>
    </row>
    <row r="47" spans="2:12" ht="15" customHeight="1" x14ac:dyDescent="0.2">
      <c r="B47" s="209"/>
      <c r="C47" s="322" t="s">
        <v>102</v>
      </c>
      <c r="D47" s="322" t="s">
        <v>103</v>
      </c>
      <c r="E47" s="322" t="s">
        <v>104</v>
      </c>
      <c r="F47" s="322" t="s">
        <v>105</v>
      </c>
      <c r="G47" s="322" t="s">
        <v>106</v>
      </c>
      <c r="H47" s="1"/>
      <c r="I47" s="1"/>
      <c r="J47" s="1"/>
      <c r="K47" s="1"/>
      <c r="L47" s="15"/>
    </row>
    <row r="48" spans="2:12" x14ac:dyDescent="0.2">
      <c r="B48" s="209"/>
      <c r="C48" s="158">
        <f>F33</f>
        <v>2.4</v>
      </c>
      <c r="D48" s="174">
        <f>+E48/C48</f>
        <v>1481.6666666666667</v>
      </c>
      <c r="E48" s="174">
        <f>+$F$14</f>
        <v>3556</v>
      </c>
      <c r="F48" s="463">
        <f>+$D$33-D48</f>
        <v>516.0861423220972</v>
      </c>
      <c r="G48" s="464">
        <f>+F48/E48</f>
        <v>0.14513108614232204</v>
      </c>
      <c r="H48" s="1"/>
      <c r="I48" s="1"/>
      <c r="J48" s="1"/>
      <c r="K48" s="1"/>
      <c r="L48" s="15"/>
    </row>
    <row r="49" spans="2:12" x14ac:dyDescent="0.2">
      <c r="B49" s="209"/>
      <c r="C49" s="158">
        <v>1.85</v>
      </c>
      <c r="D49" s="174">
        <f>+E49/C49</f>
        <v>1922.1621621621621</v>
      </c>
      <c r="E49" s="465">
        <f>+$F$14</f>
        <v>3556</v>
      </c>
      <c r="F49" s="463">
        <f>+$D$33-D49</f>
        <v>75.590646826601869</v>
      </c>
      <c r="G49" s="464">
        <f>+F49/E49</f>
        <v>2.125721226844822E-2</v>
      </c>
      <c r="H49" s="1"/>
      <c r="I49" s="1"/>
      <c r="J49" s="1"/>
      <c r="K49" s="1"/>
      <c r="L49" s="15"/>
    </row>
    <row r="50" spans="2:12" x14ac:dyDescent="0.2">
      <c r="B50" s="209"/>
      <c r="C50" s="158">
        <v>1.78</v>
      </c>
      <c r="D50" s="174">
        <f>+E50/C50</f>
        <v>1997.7528089887639</v>
      </c>
      <c r="E50" s="465">
        <f>+$F$14</f>
        <v>3556</v>
      </c>
      <c r="F50" s="463">
        <f>+$D$33-D50</f>
        <v>0</v>
      </c>
      <c r="G50" s="464">
        <f>+F50/E50</f>
        <v>0</v>
      </c>
      <c r="H50" s="1"/>
      <c r="I50" s="1"/>
      <c r="J50" s="1"/>
      <c r="K50" s="1"/>
      <c r="L50" s="15"/>
    </row>
    <row r="51" spans="2:12" x14ac:dyDescent="0.2">
      <c r="B51" s="209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2" ht="16" customHeight="1" x14ac:dyDescent="0.2">
      <c r="B52" s="209"/>
      <c r="C52" s="50" t="s">
        <v>48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2" ht="7" customHeight="1" x14ac:dyDescent="0.2">
      <c r="B53" s="225"/>
      <c r="C53" s="54"/>
      <c r="D53" s="1"/>
      <c r="E53" s="1"/>
      <c r="F53" s="1"/>
      <c r="G53" s="1"/>
      <c r="H53" s="1"/>
      <c r="I53" s="1"/>
      <c r="J53" s="1"/>
      <c r="K53" s="1"/>
      <c r="L53" s="15"/>
    </row>
    <row r="54" spans="2:12" ht="7" customHeight="1" x14ac:dyDescent="0.2">
      <c r="B54" s="209"/>
      <c r="C54" s="54"/>
      <c r="D54" s="1"/>
      <c r="E54" s="1"/>
      <c r="F54" s="1"/>
      <c r="G54" s="1"/>
      <c r="H54" s="1"/>
      <c r="I54" s="1"/>
      <c r="J54" s="1"/>
      <c r="K54" s="1"/>
      <c r="L54" s="15"/>
    </row>
    <row r="55" spans="2:12" ht="16" customHeight="1" x14ac:dyDescent="0.2">
      <c r="B55" s="209"/>
      <c r="C55" s="430" t="s">
        <v>26</v>
      </c>
      <c r="D55" s="143"/>
      <c r="E55" s="699" t="s">
        <v>27</v>
      </c>
      <c r="F55" s="699"/>
      <c r="G55" s="461" t="s">
        <v>3</v>
      </c>
      <c r="H55" s="461" t="s">
        <v>4</v>
      </c>
      <c r="I55" s="1"/>
      <c r="J55" s="1"/>
      <c r="K55" s="1"/>
      <c r="L55" s="15"/>
    </row>
    <row r="56" spans="2:12" ht="16" customHeight="1" x14ac:dyDescent="0.2">
      <c r="B56" s="209"/>
      <c r="C56" s="143" t="s">
        <v>28</v>
      </c>
      <c r="D56" s="143"/>
      <c r="E56" s="12" t="s">
        <v>29</v>
      </c>
      <c r="F56" s="462" t="s">
        <v>30</v>
      </c>
      <c r="G56" s="144">
        <v>180</v>
      </c>
      <c r="H56" s="431">
        <f>G56*25.4</f>
        <v>4572</v>
      </c>
      <c r="I56" s="1"/>
      <c r="J56" s="1"/>
      <c r="K56" s="1"/>
      <c r="L56" s="15"/>
    </row>
    <row r="57" spans="2:12" ht="16" customHeight="1" x14ac:dyDescent="0.2">
      <c r="B57" s="209"/>
      <c r="C57" s="143" t="s">
        <v>165</v>
      </c>
      <c r="D57" s="143"/>
      <c r="E57" s="12" t="s">
        <v>29</v>
      </c>
      <c r="F57" s="462" t="s">
        <v>30</v>
      </c>
      <c r="G57" s="144">
        <v>140</v>
      </c>
      <c r="H57" s="144">
        <f>G57*25.4</f>
        <v>3556</v>
      </c>
      <c r="I57" s="1"/>
      <c r="J57" s="1"/>
      <c r="K57" s="1"/>
      <c r="L57" s="15"/>
    </row>
    <row r="58" spans="2:12" ht="16" customHeight="1" x14ac:dyDescent="0.2">
      <c r="B58" s="209"/>
      <c r="D58" s="1"/>
      <c r="E58" s="86"/>
      <c r="F58" s="133"/>
      <c r="G58" s="52"/>
      <c r="H58" s="52"/>
      <c r="I58" s="1"/>
      <c r="J58" s="1"/>
      <c r="K58" s="1"/>
      <c r="L58" s="15"/>
    </row>
    <row r="59" spans="2:12" x14ac:dyDescent="0.2">
      <c r="B59" s="209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09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15"/>
    </row>
    <row r="61" spans="2:12" x14ac:dyDescent="0.2">
      <c r="B61" s="225"/>
      <c r="C61" s="1" t="s">
        <v>107</v>
      </c>
      <c r="D61" s="1"/>
      <c r="E61" s="1"/>
      <c r="F61" s="1"/>
      <c r="G61" s="1"/>
      <c r="H61" s="1"/>
      <c r="I61" s="1"/>
      <c r="J61" s="1"/>
      <c r="K61" s="1"/>
      <c r="L61" s="15"/>
    </row>
    <row r="62" spans="2:12" x14ac:dyDescent="0.2">
      <c r="B62" s="209"/>
      <c r="C62" s="1"/>
      <c r="D62" s="1"/>
      <c r="E62" s="1"/>
      <c r="F62" s="1"/>
      <c r="G62" s="1"/>
      <c r="H62" s="1"/>
      <c r="I62" s="1"/>
      <c r="J62" s="1"/>
      <c r="K62" s="1"/>
      <c r="L62" s="15"/>
    </row>
    <row r="63" spans="2:12" x14ac:dyDescent="0.2">
      <c r="B63" s="209"/>
      <c r="C63" s="50" t="s">
        <v>36</v>
      </c>
      <c r="D63" s="55"/>
      <c r="E63" s="55"/>
      <c r="F63" s="55"/>
      <c r="G63" s="55" t="s">
        <v>37</v>
      </c>
      <c r="H63" s="55"/>
      <c r="I63" s="55"/>
      <c r="J63" s="55"/>
      <c r="K63" s="55"/>
      <c r="L63" s="215"/>
    </row>
    <row r="64" spans="2:12" x14ac:dyDescent="0.2">
      <c r="B64" s="225"/>
      <c r="C64" s="51"/>
      <c r="D64" s="1"/>
      <c r="E64" s="1"/>
      <c r="F64" s="1"/>
      <c r="G64" s="1"/>
      <c r="H64" s="1"/>
      <c r="I64" s="1"/>
      <c r="J64" s="1"/>
      <c r="K64" s="1"/>
      <c r="L64" s="15"/>
    </row>
    <row r="65" spans="2:12" x14ac:dyDescent="0.2">
      <c r="B65" s="209"/>
      <c r="C65" s="220" t="s">
        <v>108</v>
      </c>
      <c r="D65" s="324">
        <f>IF(C33&gt;199,2,1)</f>
        <v>1</v>
      </c>
      <c r="E65" s="143"/>
      <c r="F65" s="143"/>
      <c r="G65" s="1"/>
      <c r="H65" s="1"/>
      <c r="I65" s="1"/>
      <c r="J65" s="1"/>
      <c r="K65" s="1"/>
      <c r="L65" s="15"/>
    </row>
    <row r="66" spans="2:12" x14ac:dyDescent="0.2">
      <c r="B66" s="209"/>
      <c r="C66" s="220" t="s">
        <v>39</v>
      </c>
      <c r="D66" s="271">
        <f>+(D34)+100</f>
        <v>3844</v>
      </c>
      <c r="E66" s="143" t="s">
        <v>4</v>
      </c>
      <c r="F66" s="143" t="s">
        <v>40</v>
      </c>
      <c r="G66" s="1"/>
      <c r="H66" s="1"/>
      <c r="I66" s="1"/>
      <c r="J66" s="1"/>
      <c r="K66" s="1"/>
      <c r="L66" s="15"/>
    </row>
    <row r="67" spans="2:12" x14ac:dyDescent="0.2">
      <c r="B67" s="209"/>
      <c r="C67" s="220" t="s">
        <v>41</v>
      </c>
      <c r="D67" s="271">
        <f>(D35/2)+100</f>
        <v>1202.8764044943819</v>
      </c>
      <c r="E67" s="143" t="s">
        <v>4</v>
      </c>
      <c r="F67" s="143" t="s">
        <v>40</v>
      </c>
      <c r="G67" s="1"/>
      <c r="H67" s="1"/>
      <c r="I67" s="1"/>
      <c r="J67" s="1"/>
      <c r="K67" s="1"/>
      <c r="L67" s="15"/>
    </row>
    <row r="68" spans="2:12" x14ac:dyDescent="0.2">
      <c r="B68" s="209"/>
      <c r="C68" s="220" t="s">
        <v>42</v>
      </c>
      <c r="D68" s="271">
        <v>350</v>
      </c>
      <c r="E68" s="143" t="s">
        <v>4</v>
      </c>
      <c r="F68" s="143" t="s">
        <v>40</v>
      </c>
      <c r="G68" s="1"/>
      <c r="H68" s="1"/>
      <c r="I68" s="1"/>
      <c r="J68" s="1"/>
      <c r="K68" s="1"/>
      <c r="L68" s="15"/>
    </row>
    <row r="69" spans="2:12" x14ac:dyDescent="0.2">
      <c r="B69" s="209"/>
      <c r="C69" s="220" t="s">
        <v>43</v>
      </c>
      <c r="D69" s="273">
        <f>IF(C32&lt;140,C32*0.95,C32*0.95)</f>
        <v>133</v>
      </c>
      <c r="E69" s="143" t="s">
        <v>44</v>
      </c>
      <c r="F69" s="143" t="s">
        <v>45</v>
      </c>
      <c r="G69" s="1"/>
      <c r="H69" s="1"/>
      <c r="I69" s="1"/>
      <c r="J69" s="1"/>
      <c r="K69" s="1"/>
      <c r="L69" s="15"/>
    </row>
    <row r="70" spans="2:12" x14ac:dyDescent="0.2">
      <c r="B70" s="209"/>
      <c r="C70" s="1"/>
      <c r="D70" s="1"/>
      <c r="E70" s="1"/>
      <c r="F70" s="1"/>
      <c r="G70" s="1"/>
      <c r="H70" s="1"/>
      <c r="I70" s="1"/>
      <c r="J70" s="1"/>
      <c r="K70" s="1"/>
      <c r="L70" s="15"/>
    </row>
    <row r="71" spans="2:12" ht="16" thickBot="1" x14ac:dyDescent="0.25">
      <c r="B71" s="217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sheetProtection algorithmName="SHA-512" hashValue="1Ymueb+dTAFajExEB58J4EnDxg9Bywd+hcq8pF+4ZPaIK3x2Y8sYucQOAr+jXFcYpPHNHwxahYkGOqAd+AIElg==" saltValue="NnaKmWXHb8KElHUXX23BwQ==" spinCount="100000" sheet="1" objects="1" scenarios="1"/>
  <mergeCells count="12">
    <mergeCell ref="E55:F55"/>
    <mergeCell ref="F33:G33"/>
    <mergeCell ref="I33:L33"/>
    <mergeCell ref="B2:L2"/>
    <mergeCell ref="B3:L3"/>
    <mergeCell ref="F31:G31"/>
    <mergeCell ref="I31:L31"/>
    <mergeCell ref="F32:G32"/>
    <mergeCell ref="I32:L32"/>
    <mergeCell ref="F10:G10"/>
    <mergeCell ref="B41:B43"/>
    <mergeCell ref="F11:G12"/>
  </mergeCells>
  <phoneticPr fontId="4" type="noConversion"/>
  <pageMargins left="0.75000000000000011" right="0.75000000000000011" top="1" bottom="1" header="0.5" footer="0.5"/>
  <pageSetup paperSize="9" scale="5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77"/>
  <sheetViews>
    <sheetView showGridLines="0" workbookViewId="0">
      <selection activeCell="N26" sqref="N26"/>
    </sheetView>
  </sheetViews>
  <sheetFormatPr baseColWidth="10" defaultColWidth="10.83203125" defaultRowHeight="15" x14ac:dyDescent="0.2"/>
  <cols>
    <col min="1" max="1" width="10.83203125" style="188"/>
    <col min="2" max="2" width="11.83203125" style="188" customWidth="1"/>
    <col min="3" max="4" width="10.83203125" style="188"/>
    <col min="5" max="5" width="11.5" style="188" customWidth="1"/>
    <col min="6" max="16384" width="10.83203125" style="188"/>
  </cols>
  <sheetData>
    <row r="2" spans="2:12" ht="39" customHeight="1" x14ac:dyDescent="0.2">
      <c r="B2" s="622" t="s">
        <v>109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189" customFormat="1" ht="39" customHeight="1" x14ac:dyDescent="0.3">
      <c r="B3" s="623" t="str">
        <f>+ROUND(C30,0)&amp;""""&amp;" "&amp;F30&amp;" Aspect Ratio"</f>
        <v>183" 1,78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5">
        <f>+D30</f>
        <v>4650</v>
      </c>
      <c r="G10" s="3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">
      <c r="B12" s="1"/>
      <c r="C12" s="1"/>
      <c r="D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90"/>
      <c r="F13" s="1"/>
      <c r="G13" s="4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1"/>
      <c r="G14" s="1"/>
      <c r="H14" s="1"/>
      <c r="I14" s="5">
        <f>+F32</f>
        <v>1937.5</v>
      </c>
      <c r="J14" s="1"/>
      <c r="K14" s="5">
        <f>+D33</f>
        <v>3012.3595505617977</v>
      </c>
      <c r="L14" s="1"/>
    </row>
    <row r="15" spans="2:12" ht="33" x14ac:dyDescent="0.2">
      <c r="B15" s="1"/>
      <c r="C15" s="1"/>
      <c r="D15" s="1"/>
      <c r="E15" s="60">
        <f>+D31</f>
        <v>2612.3595505617977</v>
      </c>
      <c r="F15" s="1"/>
      <c r="G15" s="562">
        <f>+D34</f>
        <v>5333.5656386147002</v>
      </c>
      <c r="H15" s="1"/>
      <c r="I15" s="90"/>
      <c r="J15" s="1"/>
      <c r="K15" s="3"/>
      <c r="L15" s="1"/>
    </row>
    <row r="16" spans="2:12" x14ac:dyDescent="0.2">
      <c r="B16" s="1"/>
      <c r="C16" s="1"/>
      <c r="D16" s="1"/>
      <c r="E16" s="1"/>
      <c r="F16" s="1"/>
      <c r="G16" s="90"/>
      <c r="H16" s="1"/>
      <c r="I16" s="1"/>
      <c r="J16" s="1"/>
      <c r="K16" s="1"/>
      <c r="L16" s="1"/>
    </row>
    <row r="17" spans="2: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5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09"/>
      <c r="N18" s="109"/>
      <c r="O18" s="109"/>
    </row>
    <row r="19" spans="2:15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09"/>
      <c r="N19" s="109"/>
      <c r="O19" s="109"/>
    </row>
    <row r="20" spans="2:15" x14ac:dyDescent="0.2">
      <c r="B20" s="1"/>
      <c r="C20" s="1"/>
      <c r="D20" s="1"/>
      <c r="E20" s="1"/>
      <c r="F20" s="62"/>
      <c r="G20" s="1"/>
      <c r="H20" s="1"/>
      <c r="I20" s="1"/>
      <c r="J20" s="1"/>
      <c r="K20" s="1"/>
      <c r="L20" s="1"/>
      <c r="M20" s="109"/>
      <c r="N20" s="109"/>
      <c r="O20" s="109"/>
    </row>
    <row r="21" spans="2:15" x14ac:dyDescent="0.2">
      <c r="B21" s="1"/>
      <c r="C21" s="1"/>
      <c r="D21" s="1"/>
      <c r="E21" s="1"/>
      <c r="F21" s="3"/>
      <c r="G21" s="1"/>
      <c r="H21" s="1"/>
      <c r="I21" s="1"/>
      <c r="J21" s="1"/>
      <c r="K21" s="1"/>
      <c r="L21" s="1"/>
      <c r="M21" s="109"/>
      <c r="N21" s="109"/>
      <c r="O21" s="109"/>
    </row>
    <row r="22" spans="2:15" ht="18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09"/>
      <c r="N22" s="109"/>
      <c r="O22" s="109"/>
    </row>
    <row r="23" spans="2:15" ht="18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09"/>
      <c r="N23" s="109"/>
      <c r="O23" s="109"/>
    </row>
    <row r="24" spans="2:15" ht="18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/>
      <c r="N24" s="109"/>
      <c r="O24" s="109"/>
    </row>
    <row r="25" spans="2:15" ht="18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/>
      <c r="N25" s="109"/>
      <c r="O25" s="109"/>
    </row>
    <row r="26" spans="2:15" ht="18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M26" s="109"/>
      <c r="N26" s="109"/>
      <c r="O26" s="109"/>
    </row>
    <row r="27" spans="2:15" ht="18" customHeight="1" x14ac:dyDescent="0.2">
      <c r="B27" s="1"/>
      <c r="C27" s="1"/>
      <c r="D27" s="1"/>
      <c r="E27" s="1"/>
      <c r="F27" s="30">
        <f>+D32</f>
        <v>5050</v>
      </c>
      <c r="G27" s="1"/>
      <c r="H27" s="1"/>
      <c r="I27" s="1"/>
      <c r="J27" s="1"/>
      <c r="K27" s="1"/>
      <c r="L27" s="488">
        <f>+D36</f>
        <v>200</v>
      </c>
      <c r="M27" s="109"/>
      <c r="N27" s="109"/>
      <c r="O27" s="203"/>
    </row>
    <row r="28" spans="2:15" ht="18" customHeight="1" thickBot="1" x14ac:dyDescent="0.25">
      <c r="B28" s="1"/>
      <c r="C28" s="1"/>
      <c r="D28" s="1"/>
      <c r="E28" s="1"/>
      <c r="F28" s="90"/>
      <c r="G28" s="1"/>
      <c r="H28" s="1"/>
      <c r="I28" s="1"/>
      <c r="J28" s="1"/>
      <c r="K28" s="1"/>
      <c r="L28" s="1"/>
      <c r="M28" s="109"/>
      <c r="N28" s="109"/>
      <c r="O28" s="109"/>
    </row>
    <row r="29" spans="2:15" ht="18" customHeight="1" x14ac:dyDescent="0.2">
      <c r="B29" s="6"/>
      <c r="C29" s="7" t="s">
        <v>3</v>
      </c>
      <c r="D29" s="156" t="s">
        <v>4</v>
      </c>
      <c r="E29" s="9" t="s">
        <v>5</v>
      </c>
      <c r="F29" s="583" t="s">
        <v>99</v>
      </c>
      <c r="G29" s="584"/>
      <c r="H29" s="9" t="s">
        <v>6</v>
      </c>
      <c r="I29" s="585">
        <f ca="1">NOW()</f>
        <v>46062.500802662034</v>
      </c>
      <c r="J29" s="585"/>
      <c r="K29" s="585"/>
      <c r="L29" s="586"/>
      <c r="M29" s="109"/>
      <c r="N29" s="109"/>
      <c r="O29" s="109"/>
    </row>
    <row r="30" spans="2:15" ht="40" customHeight="1" x14ac:dyDescent="0.2">
      <c r="B30" s="150" t="s">
        <v>7</v>
      </c>
      <c r="C30" s="106">
        <f t="shared" ref="C30:C36" si="0">+D30/$F$36</f>
        <v>183.0708661417323</v>
      </c>
      <c r="D30" s="269">
        <v>4650</v>
      </c>
      <c r="E30" s="152" t="s">
        <v>8</v>
      </c>
      <c r="F30" s="587">
        <v>1.78</v>
      </c>
      <c r="G30" s="588"/>
      <c r="H30" s="153" t="s">
        <v>9</v>
      </c>
      <c r="I30" s="626"/>
      <c r="J30" s="626"/>
      <c r="K30" s="626"/>
      <c r="L30" s="627"/>
      <c r="M30" s="109"/>
      <c r="N30" s="109"/>
      <c r="O30" s="190"/>
    </row>
    <row r="31" spans="2:15" ht="40" customHeight="1" x14ac:dyDescent="0.2">
      <c r="B31" s="10" t="s">
        <v>10</v>
      </c>
      <c r="C31" s="22">
        <f t="shared" si="0"/>
        <v>102.84880120322039</v>
      </c>
      <c r="D31" s="121">
        <f>+D30/F30</f>
        <v>2612.3595505617977</v>
      </c>
      <c r="E31" s="12" t="s">
        <v>11</v>
      </c>
      <c r="F31" s="705">
        <v>2.4</v>
      </c>
      <c r="G31" s="706"/>
      <c r="H31" s="12" t="s">
        <v>13</v>
      </c>
      <c r="I31" s="619"/>
      <c r="J31" s="620"/>
      <c r="K31" s="620"/>
      <c r="L31" s="621"/>
      <c r="M31" s="109"/>
      <c r="N31" s="109"/>
      <c r="O31" s="109"/>
    </row>
    <row r="32" spans="2:15" ht="18" customHeight="1" x14ac:dyDescent="0.2">
      <c r="B32" s="10" t="s">
        <v>14</v>
      </c>
      <c r="C32" s="22">
        <f t="shared" si="0"/>
        <v>198.81889763779529</v>
      </c>
      <c r="D32" s="124">
        <f>+D30+(2*F35)</f>
        <v>5050</v>
      </c>
      <c r="E32" s="12" t="s">
        <v>100</v>
      </c>
      <c r="F32" s="174">
        <f>+D30/F31</f>
        <v>1937.5</v>
      </c>
      <c r="G32" s="611" t="s">
        <v>138</v>
      </c>
      <c r="H32" s="612"/>
      <c r="I32" s="612"/>
      <c r="J32" s="612"/>
      <c r="K32" s="612"/>
      <c r="L32" s="613"/>
      <c r="M32" s="109"/>
      <c r="N32" s="109"/>
      <c r="O32" s="109"/>
    </row>
    <row r="33" spans="2:15" ht="40" customHeight="1" x14ac:dyDescent="0.2">
      <c r="B33" s="10" t="s">
        <v>18</v>
      </c>
      <c r="C33" s="22">
        <f t="shared" si="0"/>
        <v>118.59683269928338</v>
      </c>
      <c r="D33" s="124">
        <f>IF(D30&gt;3558, D31+(2*F35), D31+(2*F35)+40)</f>
        <v>3012.3595505617977</v>
      </c>
      <c r="E33" s="12" t="s">
        <v>19</v>
      </c>
      <c r="F33" s="460" t="s">
        <v>76</v>
      </c>
      <c r="G33" s="614"/>
      <c r="H33" s="615"/>
      <c r="I33" s="615"/>
      <c r="J33" s="615"/>
      <c r="K33" s="615"/>
      <c r="L33" s="616"/>
      <c r="M33" s="109"/>
      <c r="N33" s="109"/>
      <c r="O33" s="109"/>
    </row>
    <row r="34" spans="2:15" ht="18" customHeight="1" x14ac:dyDescent="0.2">
      <c r="B34" s="10" t="s">
        <v>21</v>
      </c>
      <c r="C34" s="22">
        <f>+D34/$F$36</f>
        <v>209.98289915805907</v>
      </c>
      <c r="D34" s="124">
        <f>SQRT((D30^2)+(D31^2))</f>
        <v>5333.5656386147002</v>
      </c>
      <c r="E34" s="192" t="s">
        <v>136</v>
      </c>
      <c r="F34" s="159" t="str">
        <f>IF(C30&lt;=141,"114",IF(C30&lt;=220,"200"))</f>
        <v>200</v>
      </c>
      <c r="G34" s="16"/>
      <c r="H34" s="1"/>
      <c r="I34" s="1"/>
      <c r="J34" s="1"/>
      <c r="K34" s="1"/>
      <c r="L34" s="15"/>
      <c r="M34" s="109"/>
      <c r="N34" s="109"/>
      <c r="O34" s="109"/>
    </row>
    <row r="35" spans="2:15" ht="18" customHeight="1" thickBot="1" x14ac:dyDescent="0.25">
      <c r="B35" s="470"/>
      <c r="C35" s="193"/>
      <c r="D35" s="193"/>
      <c r="E35" s="12" t="s">
        <v>22</v>
      </c>
      <c r="F35" s="128">
        <f>IF(D30&gt;3558, 200, 94)</f>
        <v>200</v>
      </c>
      <c r="G35" s="16"/>
      <c r="H35" s="1"/>
      <c r="I35" s="1"/>
      <c r="J35" s="1"/>
      <c r="K35" s="1"/>
      <c r="L35" s="15"/>
    </row>
    <row r="36" spans="2:15" ht="18" customHeight="1" thickBot="1" x14ac:dyDescent="0.25">
      <c r="B36" s="17" t="s">
        <v>23</v>
      </c>
      <c r="C36" s="25">
        <f t="shared" si="0"/>
        <v>7.8740157480314963</v>
      </c>
      <c r="D36" s="130">
        <f>IF(D30&gt;3558, 200, 145)</f>
        <v>200</v>
      </c>
      <c r="E36" s="194" t="s">
        <v>24</v>
      </c>
      <c r="F36" s="132">
        <v>25.4</v>
      </c>
      <c r="G36" s="19"/>
      <c r="H36" s="19"/>
      <c r="I36" s="19"/>
      <c r="J36" s="19"/>
      <c r="K36" s="575" t="s">
        <v>67</v>
      </c>
      <c r="L36" s="668"/>
    </row>
    <row r="37" spans="2:15" ht="18" customHeight="1" thickBot="1" x14ac:dyDescent="0.25">
      <c r="B37" s="86"/>
      <c r="C37" s="471"/>
      <c r="D37" s="353"/>
      <c r="E37" s="472"/>
      <c r="F37" s="354"/>
      <c r="G37" s="1"/>
      <c r="H37" s="1"/>
      <c r="I37" s="1"/>
      <c r="J37" s="1"/>
      <c r="K37" s="1"/>
      <c r="L37"/>
    </row>
    <row r="38" spans="2:15" ht="18" customHeight="1" thickBot="1" x14ac:dyDescent="0.25">
      <c r="B38" s="328"/>
      <c r="C38" s="473"/>
      <c r="D38" s="466"/>
      <c r="E38" s="474"/>
      <c r="F38" s="363"/>
      <c r="G38" s="207"/>
      <c r="H38" s="207"/>
      <c r="I38" s="207"/>
      <c r="J38" s="207"/>
      <c r="K38" s="207"/>
      <c r="L38" s="253"/>
    </row>
    <row r="39" spans="2:15" ht="18" customHeight="1" thickBot="1" x14ac:dyDescent="0.25">
      <c r="B39" s="608" t="s">
        <v>169</v>
      </c>
      <c r="C39" s="1"/>
      <c r="D39" s="1"/>
      <c r="E39" s="1"/>
      <c r="F39" s="354"/>
      <c r="G39" s="1"/>
      <c r="H39" s="1"/>
      <c r="I39" s="1"/>
      <c r="J39" s="1"/>
      <c r="K39" s="1"/>
      <c r="L39" s="255"/>
    </row>
    <row r="40" spans="2:15" ht="18" customHeight="1" thickBot="1" x14ac:dyDescent="0.25">
      <c r="B40" s="609"/>
      <c r="C40" s="1" t="s">
        <v>177</v>
      </c>
      <c r="D40" s="83"/>
      <c r="E40" s="342" t="s">
        <v>302</v>
      </c>
      <c r="F40" s="354"/>
      <c r="G40" s="1"/>
      <c r="H40" s="1"/>
      <c r="I40" s="1"/>
      <c r="J40" s="1"/>
      <c r="K40" s="1"/>
      <c r="L40" s="255"/>
    </row>
    <row r="41" spans="2:15" ht="18" customHeight="1" thickBot="1" x14ac:dyDescent="0.25">
      <c r="B41" s="610"/>
      <c r="C41" s="1" t="s">
        <v>178</v>
      </c>
      <c r="D41" s="83"/>
      <c r="E41" s="342"/>
      <c r="F41" s="354"/>
      <c r="G41" s="1"/>
      <c r="H41" s="1"/>
      <c r="I41" s="1"/>
      <c r="J41" s="1"/>
      <c r="K41" s="1"/>
      <c r="L41" s="255"/>
    </row>
    <row r="42" spans="2:15" ht="18" customHeight="1" x14ac:dyDescent="0.2">
      <c r="B42" s="470"/>
      <c r="C42" s="193"/>
      <c r="D42" s="193"/>
      <c r="E42" s="193"/>
      <c r="F42" s="193"/>
      <c r="G42" s="193"/>
      <c r="H42" s="193"/>
      <c r="I42" s="193"/>
      <c r="J42" s="193"/>
      <c r="K42" s="193"/>
      <c r="L42" s="475"/>
    </row>
    <row r="43" spans="2:15" ht="18" customHeight="1" x14ac:dyDescent="0.2">
      <c r="B43" s="209"/>
      <c r="C43" s="50" t="s">
        <v>101</v>
      </c>
      <c r="D43" s="50"/>
      <c r="E43" s="50"/>
      <c r="F43" s="50"/>
      <c r="G43" s="50"/>
      <c r="H43" s="50"/>
      <c r="I43" s="50"/>
      <c r="J43" s="50"/>
      <c r="K43" s="50"/>
      <c r="L43" s="468"/>
    </row>
    <row r="44" spans="2:15" ht="18" customHeight="1" x14ac:dyDescent="0.2">
      <c r="B44" s="225"/>
      <c r="C44" s="51"/>
      <c r="D44" s="51"/>
      <c r="E44" s="51"/>
      <c r="F44" s="51"/>
      <c r="G44" s="51"/>
      <c r="H44" s="51"/>
      <c r="I44" s="51"/>
      <c r="J44" s="51"/>
      <c r="K44" s="51"/>
      <c r="L44" s="469"/>
    </row>
    <row r="45" spans="2:15" ht="18" customHeight="1" x14ac:dyDescent="0.2">
      <c r="B45" s="209"/>
      <c r="C45" s="461" t="s">
        <v>102</v>
      </c>
      <c r="D45" s="461" t="s">
        <v>103</v>
      </c>
      <c r="E45" s="461" t="s">
        <v>104</v>
      </c>
      <c r="F45" s="461" t="s">
        <v>105</v>
      </c>
      <c r="G45" s="461" t="s">
        <v>106</v>
      </c>
      <c r="H45" s="143"/>
      <c r="I45" s="1"/>
      <c r="J45" s="1"/>
      <c r="K45" s="1"/>
      <c r="L45" s="15"/>
    </row>
    <row r="46" spans="2:15" ht="18" customHeight="1" x14ac:dyDescent="0.2">
      <c r="B46" s="209"/>
      <c r="C46" s="158">
        <f>F31</f>
        <v>2.4</v>
      </c>
      <c r="D46" s="174">
        <f>+E46/C46</f>
        <v>1937.5</v>
      </c>
      <c r="E46" s="174">
        <f>+$F$10</f>
        <v>4650</v>
      </c>
      <c r="F46" s="431">
        <f>+$D$31-D46</f>
        <v>674.85955056179773</v>
      </c>
      <c r="G46" s="464">
        <f>F46/E46</f>
        <v>0.14513108614232209</v>
      </c>
      <c r="H46" s="143"/>
      <c r="I46" s="1"/>
      <c r="J46" s="1"/>
      <c r="K46" s="1"/>
      <c r="L46" s="15"/>
    </row>
    <row r="47" spans="2:15" ht="18" customHeight="1" x14ac:dyDescent="0.2">
      <c r="B47" s="209"/>
      <c r="C47" s="158">
        <v>1.85</v>
      </c>
      <c r="D47" s="174">
        <f>+E47/C47</f>
        <v>2513.5135135135133</v>
      </c>
      <c r="E47" s="174">
        <f>+$F$10</f>
        <v>4650</v>
      </c>
      <c r="F47" s="431">
        <f>+$D$31-D47</f>
        <v>98.846037048284416</v>
      </c>
      <c r="G47" s="464">
        <f>F47/E47</f>
        <v>2.1257212268448261E-2</v>
      </c>
      <c r="H47" s="143"/>
      <c r="I47" s="1"/>
      <c r="J47" s="1"/>
      <c r="K47" s="1"/>
      <c r="L47" s="15"/>
    </row>
    <row r="48" spans="2:15" ht="18" customHeight="1" x14ac:dyDescent="0.2">
      <c r="B48" s="209"/>
      <c r="C48" s="158">
        <v>1.78</v>
      </c>
      <c r="D48" s="174">
        <f>+E48/C48</f>
        <v>2612.3595505617977</v>
      </c>
      <c r="E48" s="174">
        <f>+$F$10</f>
        <v>4650</v>
      </c>
      <c r="F48" s="431">
        <f>+$D$31-D48</f>
        <v>0</v>
      </c>
      <c r="G48" s="464">
        <f>F48/E48</f>
        <v>0</v>
      </c>
      <c r="H48" s="483" t="s">
        <v>110</v>
      </c>
      <c r="I48" s="1"/>
      <c r="J48" s="1"/>
      <c r="K48" s="1"/>
      <c r="L48" s="15"/>
    </row>
    <row r="49" spans="2:12" ht="18" customHeight="1" x14ac:dyDescent="0.2">
      <c r="B49" s="209"/>
      <c r="C49" s="212"/>
      <c r="D49" s="216"/>
      <c r="E49" s="216"/>
      <c r="F49" s="31"/>
      <c r="G49" s="31"/>
      <c r="H49" s="214"/>
      <c r="I49" s="1"/>
      <c r="J49" s="1"/>
      <c r="K49" s="1"/>
      <c r="L49" s="15"/>
    </row>
    <row r="50" spans="2:12" ht="18" customHeight="1" x14ac:dyDescent="0.2">
      <c r="B50" s="209"/>
      <c r="C50" s="50" t="s">
        <v>48</v>
      </c>
      <c r="D50" s="55"/>
      <c r="E50" s="55"/>
      <c r="F50" s="55"/>
      <c r="G50" s="55"/>
      <c r="H50" s="55"/>
      <c r="I50" s="55"/>
      <c r="J50" s="55"/>
      <c r="K50" s="55"/>
      <c r="L50" s="215"/>
    </row>
    <row r="51" spans="2:12" ht="18" customHeight="1" x14ac:dyDescent="0.2">
      <c r="B51" s="225"/>
      <c r="C51" s="54"/>
      <c r="D51" s="1"/>
      <c r="E51" s="1"/>
      <c r="F51" s="1"/>
      <c r="G51" s="1"/>
      <c r="H51" s="1"/>
      <c r="I51" s="1"/>
      <c r="J51" s="1"/>
      <c r="K51" s="1"/>
      <c r="L51" s="15"/>
    </row>
    <row r="52" spans="2:12" ht="18" customHeight="1" x14ac:dyDescent="0.2">
      <c r="B52" s="209"/>
      <c r="C52" s="430" t="s">
        <v>26</v>
      </c>
      <c r="D52" s="143"/>
      <c r="E52" s="699" t="s">
        <v>27</v>
      </c>
      <c r="F52" s="699"/>
      <c r="G52" s="461" t="s">
        <v>3</v>
      </c>
      <c r="H52" s="461" t="s">
        <v>4</v>
      </c>
      <c r="I52" s="1"/>
      <c r="J52" s="1"/>
      <c r="K52" s="1"/>
      <c r="L52" s="15"/>
    </row>
    <row r="53" spans="2:12" ht="18" customHeight="1" x14ac:dyDescent="0.2">
      <c r="B53" s="209"/>
      <c r="C53" s="143" t="s">
        <v>59</v>
      </c>
      <c r="D53" s="143"/>
      <c r="E53" s="12" t="s">
        <v>29</v>
      </c>
      <c r="F53" s="462" t="s">
        <v>30</v>
      </c>
      <c r="G53" s="144">
        <v>106</v>
      </c>
      <c r="H53" s="431">
        <f>G53*25.4</f>
        <v>2692.3999999999996</v>
      </c>
      <c r="I53" s="1"/>
      <c r="J53" s="1"/>
      <c r="K53" s="1"/>
      <c r="L53" s="15"/>
    </row>
    <row r="54" spans="2:12" ht="18" customHeight="1" x14ac:dyDescent="0.2">
      <c r="B54" s="476"/>
      <c r="C54" s="484" t="s">
        <v>60</v>
      </c>
      <c r="D54" s="484"/>
      <c r="E54" s="485" t="s">
        <v>29</v>
      </c>
      <c r="F54" s="486">
        <v>1.78</v>
      </c>
      <c r="G54" s="487">
        <v>130</v>
      </c>
      <c r="H54" s="487">
        <v>4064</v>
      </c>
      <c r="I54" s="477"/>
      <c r="J54" s="477"/>
      <c r="K54" s="477"/>
      <c r="L54" s="478"/>
    </row>
    <row r="55" spans="2:12" ht="18" customHeight="1" x14ac:dyDescent="0.2">
      <c r="B55" s="209"/>
      <c r="C55" s="143" t="s">
        <v>28</v>
      </c>
      <c r="D55" s="143"/>
      <c r="E55" s="12" t="s">
        <v>29</v>
      </c>
      <c r="F55" s="462" t="s">
        <v>30</v>
      </c>
      <c r="G55" s="144">
        <v>200</v>
      </c>
      <c r="H55" s="144">
        <f>G55*25.4</f>
        <v>5080</v>
      </c>
      <c r="I55" s="1" t="s">
        <v>292</v>
      </c>
      <c r="J55" s="1"/>
      <c r="K55" s="1"/>
      <c r="L55" s="15"/>
    </row>
    <row r="56" spans="2:12" ht="18" customHeight="1" x14ac:dyDescent="0.2">
      <c r="B56" s="470"/>
      <c r="C56" s="193"/>
      <c r="D56" s="193"/>
      <c r="E56" s="193"/>
      <c r="F56" s="193"/>
      <c r="G56" s="193"/>
      <c r="H56" s="193"/>
      <c r="I56" s="193" t="s">
        <v>293</v>
      </c>
      <c r="J56" s="193"/>
      <c r="K56" s="193"/>
      <c r="L56" s="475"/>
    </row>
    <row r="57" spans="2:12" ht="18" customHeight="1" x14ac:dyDescent="0.2">
      <c r="B57" s="470"/>
      <c r="C57" s="50" t="s">
        <v>33</v>
      </c>
      <c r="D57" s="55"/>
      <c r="E57" s="55"/>
      <c r="F57" s="55"/>
      <c r="G57" s="55"/>
      <c r="H57" s="55"/>
      <c r="I57" s="55"/>
      <c r="J57" s="55"/>
      <c r="K57" s="55"/>
      <c r="L57" s="215"/>
    </row>
    <row r="58" spans="2:12" ht="18" customHeight="1" x14ac:dyDescent="0.2">
      <c r="B58" s="479"/>
      <c r="C58" s="1" t="s">
        <v>111</v>
      </c>
      <c r="D58" s="1"/>
      <c r="E58" s="1"/>
      <c r="F58" s="1"/>
      <c r="G58" s="1"/>
      <c r="H58" s="1"/>
      <c r="I58" s="1"/>
      <c r="J58" s="1"/>
      <c r="K58" s="1"/>
      <c r="L58" s="15"/>
    </row>
    <row r="59" spans="2:12" ht="18" customHeight="1" x14ac:dyDescent="0.2">
      <c r="B59" s="470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s="109" customFormat="1" ht="18" customHeight="1" x14ac:dyDescent="0.2">
      <c r="B60" s="209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15"/>
    </row>
    <row r="61" spans="2:12" s="109" customFormat="1" ht="18" customHeight="1" x14ac:dyDescent="0.2">
      <c r="B61" s="225"/>
      <c r="C61" s="51"/>
      <c r="D61" s="1"/>
      <c r="E61" s="1"/>
      <c r="F61" s="1"/>
      <c r="G61" s="1"/>
      <c r="H61" s="1"/>
      <c r="I61" s="1"/>
      <c r="J61" s="1"/>
      <c r="K61" s="1"/>
      <c r="L61" s="15"/>
    </row>
    <row r="62" spans="2:12" s="109" customFormat="1" ht="18" customHeight="1" x14ac:dyDescent="0.2">
      <c r="B62" s="209"/>
      <c r="C62" s="220" t="s">
        <v>108</v>
      </c>
      <c r="D62" s="324">
        <f>IF(C31&gt;199,2,1)</f>
        <v>1</v>
      </c>
      <c r="E62" s="143"/>
      <c r="F62" s="143"/>
      <c r="G62" s="1"/>
      <c r="H62" s="1"/>
      <c r="I62" s="1"/>
      <c r="J62" s="1"/>
      <c r="K62" s="1"/>
      <c r="L62" s="15"/>
    </row>
    <row r="63" spans="2:12" s="109" customFormat="1" ht="18" customHeight="1" x14ac:dyDescent="0.2">
      <c r="B63" s="209"/>
      <c r="C63" s="220" t="s">
        <v>39</v>
      </c>
      <c r="D63" s="271">
        <f>+(D32)+100</f>
        <v>5150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ht="18" customHeight="1" x14ac:dyDescent="0.2">
      <c r="B64" s="209"/>
      <c r="C64" s="220" t="s">
        <v>41</v>
      </c>
      <c r="D64" s="271">
        <f>(D33/2)+100</f>
        <v>1606.1797752808989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ht="18" customHeight="1" x14ac:dyDescent="0.2">
      <c r="B65" s="209"/>
      <c r="C65" s="220" t="s">
        <v>42</v>
      </c>
      <c r="D65" s="271">
        <v>700</v>
      </c>
      <c r="E65" s="143" t="s">
        <v>4</v>
      </c>
      <c r="F65" s="143" t="s">
        <v>40</v>
      </c>
      <c r="G65" s="1"/>
      <c r="H65" s="1"/>
      <c r="I65" s="1"/>
      <c r="J65" s="1"/>
      <c r="K65" s="1"/>
      <c r="L65" s="15"/>
    </row>
    <row r="66" spans="2:12" s="109" customFormat="1" ht="18" customHeight="1" x14ac:dyDescent="0.2">
      <c r="B66" s="209"/>
      <c r="C66" s="220" t="s">
        <v>43</v>
      </c>
      <c r="D66" s="273">
        <f>IF(C30&lt;140,C30*0.95,C30*0.95)</f>
        <v>173.91732283464566</v>
      </c>
      <c r="E66" s="143" t="s">
        <v>44</v>
      </c>
      <c r="F66" s="143" t="s">
        <v>45</v>
      </c>
      <c r="G66" s="1"/>
      <c r="H66" s="1"/>
      <c r="I66" s="1"/>
      <c r="J66" s="1"/>
      <c r="K66" s="1"/>
      <c r="L66" s="15"/>
    </row>
    <row r="67" spans="2:12" ht="16" thickBot="1" x14ac:dyDescent="0.25">
      <c r="B67" s="480"/>
      <c r="C67" s="481"/>
      <c r="D67" s="481"/>
      <c r="E67" s="481"/>
      <c r="F67" s="481"/>
      <c r="G67" s="481"/>
      <c r="H67" s="481"/>
      <c r="I67" s="481"/>
      <c r="J67" s="481"/>
      <c r="K67" s="481"/>
      <c r="L67" s="482"/>
    </row>
    <row r="68" spans="2:12" x14ac:dyDescent="0.2">
      <c r="B68" s="193"/>
      <c r="C68" s="165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</row>
    <row r="70" spans="2:12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</row>
    <row r="71" spans="2:12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</row>
    <row r="72" spans="2:12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</row>
    <row r="73" spans="2:12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</row>
    <row r="74" spans="2:12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</row>
    <row r="75" spans="2:12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</row>
    <row r="76" spans="2:12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</row>
    <row r="77" spans="2:12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</row>
  </sheetData>
  <sheetProtection algorithmName="SHA-512" hashValue="H0bOkIGxfLh0dMT21PQMeVCdhraAuPwNR5ChA/V9uzYt5sHDmiKJbR32X3eJrM8uFSvY4yCAJ3Ke3o9AW36sCg==" saltValue="UqoUVlhA0HjItbMTWcBQqg==" spinCount="100000" sheet="1" objects="1" scenarios="1"/>
  <mergeCells count="12">
    <mergeCell ref="E52:F52"/>
    <mergeCell ref="F31:G31"/>
    <mergeCell ref="I31:L31"/>
    <mergeCell ref="B2:L2"/>
    <mergeCell ref="B3:L3"/>
    <mergeCell ref="F29:G29"/>
    <mergeCell ref="I29:L29"/>
    <mergeCell ref="F30:G30"/>
    <mergeCell ref="I30:L30"/>
    <mergeCell ref="G32:L33"/>
    <mergeCell ref="K36:L36"/>
    <mergeCell ref="B39:B41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65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65"/>
  <sheetViews>
    <sheetView showGridLines="0" zoomScale="88" zoomScaleNormal="88" workbookViewId="0">
      <selection activeCell="O61" sqref="O61"/>
    </sheetView>
  </sheetViews>
  <sheetFormatPr baseColWidth="10" defaultColWidth="10.83203125" defaultRowHeight="15" x14ac:dyDescent="0.2"/>
  <cols>
    <col min="1" max="1" width="5" style="109" customWidth="1"/>
    <col min="2" max="2" width="11.5" style="109" customWidth="1"/>
    <col min="3" max="10" width="10.83203125" style="109"/>
    <col min="11" max="11" width="3.83203125" style="109" customWidth="1"/>
    <col min="12" max="12" width="8.1640625" style="109" customWidth="1"/>
    <col min="13" max="13" width="16.1640625" style="109" customWidth="1"/>
    <col min="14" max="16384" width="10.83203125" style="109"/>
  </cols>
  <sheetData>
    <row r="1" spans="1:13" ht="39" customHeight="1" x14ac:dyDescent="0.3">
      <c r="A1" s="1"/>
      <c r="B1" s="709" t="s">
        <v>147</v>
      </c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</row>
    <row r="2" spans="1:13" s="145" customFormat="1" ht="75" customHeight="1" x14ac:dyDescent="0.3">
      <c r="A2" s="2"/>
      <c r="B2" s="623" t="str">
        <f>+ROUND(C23,0)&amp;""""&amp;" "&amp;F23&amp;" Aspect Ratio"</f>
        <v>170" 2,4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</row>
    <row r="3" spans="1:13" s="203" customFormat="1" ht="26" customHeight="1" x14ac:dyDescent="0.2">
      <c r="A3" s="202"/>
      <c r="B3" s="202"/>
      <c r="C3" s="202"/>
      <c r="D3" s="202"/>
      <c r="E3" s="202"/>
      <c r="F3" s="567">
        <f>D23</f>
        <v>4318</v>
      </c>
      <c r="G3" s="201">
        <f>+D21</f>
        <v>0</v>
      </c>
      <c r="H3" s="202"/>
      <c r="I3" s="202"/>
      <c r="J3" s="202"/>
      <c r="K3" s="202"/>
      <c r="L3" s="202"/>
      <c r="M3" s="202"/>
    </row>
    <row r="4" spans="1:13" x14ac:dyDescent="0.2">
      <c r="A4" s="1"/>
      <c r="B4" s="1"/>
      <c r="C4" s="1"/>
      <c r="D4" s="1"/>
      <c r="E4" s="1"/>
      <c r="F4" s="1"/>
      <c r="G4" s="1"/>
      <c r="H4" s="1"/>
      <c r="I4" s="191"/>
      <c r="J4" s="19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201">
        <f>+D23</f>
        <v>4318</v>
      </c>
      <c r="H5" s="1"/>
      <c r="I5" s="1"/>
      <c r="J5" s="1"/>
      <c r="K5" s="1"/>
      <c r="L5" s="1"/>
      <c r="M5" s="1"/>
    </row>
    <row r="6" spans="1:13" x14ac:dyDescent="0.2">
      <c r="A6" s="1"/>
      <c r="B6" s="1"/>
      <c r="C6" s="1"/>
      <c r="D6" s="1"/>
      <c r="E6" s="1"/>
      <c r="F6" s="1"/>
      <c r="G6" s="3"/>
      <c r="H6" s="1"/>
      <c r="I6" s="1"/>
      <c r="J6" s="1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1"/>
      <c r="C8" s="1"/>
      <c r="D8" s="1"/>
      <c r="E8" s="1"/>
      <c r="F8" s="40">
        <f>+D24</f>
        <v>1799.1666666666667</v>
      </c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226">
        <f>+F8/$F$28</f>
        <v>70.833333333333343</v>
      </c>
      <c r="G9" s="1"/>
      <c r="H9" s="1"/>
      <c r="I9" s="1"/>
      <c r="J9" s="1"/>
      <c r="K9" s="1"/>
      <c r="L9" s="1"/>
      <c r="M9" s="1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x14ac:dyDescent="0.2">
      <c r="A11" s="1"/>
      <c r="B11" s="1"/>
      <c r="C11" s="1"/>
      <c r="D11" s="1"/>
      <c r="E11" s="1"/>
      <c r="F11" s="1"/>
      <c r="G11" s="245">
        <f>+D27</f>
        <v>4677.833333333333</v>
      </c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226">
        <f>+G11/$F$28</f>
        <v>184.16666666666666</v>
      </c>
      <c r="H12" s="1"/>
      <c r="I12" s="1"/>
      <c r="J12" s="1"/>
      <c r="K12" s="1"/>
      <c r="L12" s="195">
        <f>+D26</f>
        <v>1987.1666666666667</v>
      </c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28">
        <f>+L12/$F$28</f>
        <v>78.234908136482943</v>
      </c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96"/>
      <c r="M14" s="1"/>
    </row>
    <row r="15" spans="1:13" x14ac:dyDescent="0.2">
      <c r="A15" s="1"/>
      <c r="B15" s="1"/>
      <c r="C15" s="1"/>
      <c r="D15" s="1"/>
      <c r="E15" s="1"/>
      <c r="F15" s="1"/>
      <c r="G15" s="5">
        <f>+F25</f>
        <v>3202.5166666666669</v>
      </c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227">
        <f>+G15/$F$28</f>
        <v>126.08333333333334</v>
      </c>
      <c r="H16" s="1"/>
      <c r="I16" s="1"/>
      <c r="J16" s="1"/>
      <c r="K16" s="1"/>
      <c r="L16" s="1"/>
      <c r="M16" s="1"/>
    </row>
    <row r="17" spans="1:14" x14ac:dyDescent="0.2">
      <c r="A17" s="1"/>
      <c r="B17" s="1"/>
      <c r="C17" s="191"/>
      <c r="D17" s="191"/>
      <c r="E17" s="1"/>
      <c r="F17" s="1"/>
      <c r="G17" s="1"/>
      <c r="H17" s="1"/>
      <c r="I17" s="191"/>
      <c r="J17" s="191"/>
      <c r="K17" s="1"/>
      <c r="L17" s="1"/>
      <c r="M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4" x14ac:dyDescent="0.2">
      <c r="A19" s="1"/>
      <c r="B19" s="1"/>
      <c r="C19" s="1"/>
      <c r="D19" s="1"/>
      <c r="E19" s="1"/>
      <c r="F19" s="30">
        <f>+D25</f>
        <v>4546</v>
      </c>
      <c r="G19" s="1"/>
      <c r="H19" s="1"/>
      <c r="I19" s="1"/>
      <c r="J19" s="1"/>
      <c r="K19" s="1"/>
      <c r="L19" s="1"/>
      <c r="M19" s="60">
        <f>+D28</f>
        <v>145</v>
      </c>
    </row>
    <row r="20" spans="1:14" x14ac:dyDescent="0.2">
      <c r="A20" s="1"/>
      <c r="B20" s="1"/>
      <c r="C20" s="1"/>
      <c r="D20" s="1"/>
      <c r="E20" s="1"/>
      <c r="F20" s="204">
        <f>+F19/$F$28</f>
        <v>178.97637795275591</v>
      </c>
      <c r="G20" s="1"/>
      <c r="H20" s="1"/>
      <c r="I20" s="1"/>
      <c r="J20" s="1"/>
      <c r="K20" s="1"/>
      <c r="L20" s="1"/>
      <c r="M20" s="229">
        <f>+M19/$F$28</f>
        <v>5.7086614173228352</v>
      </c>
    </row>
    <row r="21" spans="1:14" ht="16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16" thickBot="1" x14ac:dyDescent="0.25">
      <c r="A22" s="1"/>
      <c r="B22" s="6"/>
      <c r="C22" s="7" t="s">
        <v>3</v>
      </c>
      <c r="D22" s="236" t="s">
        <v>4</v>
      </c>
      <c r="E22" s="9" t="s">
        <v>5</v>
      </c>
      <c r="F22" s="710" t="s">
        <v>99</v>
      </c>
      <c r="G22" s="711"/>
      <c r="H22" s="9" t="s">
        <v>6</v>
      </c>
      <c r="I22" s="585">
        <f ca="1">NOW()</f>
        <v>46062.500802662034</v>
      </c>
      <c r="J22" s="585"/>
      <c r="K22" s="585"/>
      <c r="L22" s="712"/>
      <c r="M22" s="586"/>
    </row>
    <row r="23" spans="1:14" ht="40" customHeight="1" thickBot="1" x14ac:dyDescent="0.25">
      <c r="B23" s="230" t="s">
        <v>149</v>
      </c>
      <c r="C23" s="235">
        <f t="shared" ref="C23:C28" si="0">+D23/$F$28</f>
        <v>170</v>
      </c>
      <c r="D23" s="238">
        <v>4318</v>
      </c>
      <c r="E23" s="239" t="s">
        <v>8</v>
      </c>
      <c r="F23" s="713">
        <v>2.4</v>
      </c>
      <c r="G23" s="714"/>
      <c r="H23" s="240" t="s">
        <v>9</v>
      </c>
      <c r="I23" s="626"/>
      <c r="J23" s="626"/>
      <c r="K23" s="626"/>
      <c r="L23" s="715"/>
      <c r="M23" s="627"/>
    </row>
    <row r="24" spans="1:14" ht="35" customHeight="1" x14ac:dyDescent="0.2">
      <c r="A24" s="1"/>
      <c r="B24" s="231" t="s">
        <v>150</v>
      </c>
      <c r="C24" s="233">
        <f t="shared" si="0"/>
        <v>70.833333333333343</v>
      </c>
      <c r="D24" s="237">
        <f>+D23/F23</f>
        <v>1799.1666666666667</v>
      </c>
      <c r="E24" s="12" t="s">
        <v>11</v>
      </c>
      <c r="F24" s="707">
        <v>1.78</v>
      </c>
      <c r="G24" s="708"/>
      <c r="H24" s="12" t="s">
        <v>13</v>
      </c>
      <c r="I24" s="619"/>
      <c r="J24" s="620"/>
      <c r="K24" s="620"/>
      <c r="L24" s="620"/>
      <c r="M24" s="621"/>
    </row>
    <row r="25" spans="1:14" ht="18" customHeight="1" thickBot="1" x14ac:dyDescent="0.25">
      <c r="A25" s="1"/>
      <c r="B25" s="10" t="s">
        <v>14</v>
      </c>
      <c r="C25" s="233">
        <f t="shared" si="0"/>
        <v>178.97637795275591</v>
      </c>
      <c r="D25" s="124">
        <f>IF(D23&lt;5079,(228+D23),((F27*2)+D23))</f>
        <v>4546</v>
      </c>
      <c r="E25" s="12" t="s">
        <v>112</v>
      </c>
      <c r="F25" s="242">
        <f>+D24*F24</f>
        <v>3202.5166666666669</v>
      </c>
      <c r="G25" s="1" t="s">
        <v>16</v>
      </c>
      <c r="H25" s="1"/>
      <c r="I25" s="1"/>
      <c r="J25" s="1"/>
      <c r="K25" s="1"/>
      <c r="L25" s="1"/>
      <c r="M25" s="15"/>
    </row>
    <row r="26" spans="1:14" ht="18" customHeight="1" thickBot="1" x14ac:dyDescent="0.25">
      <c r="A26" s="1"/>
      <c r="B26" s="10" t="s">
        <v>18</v>
      </c>
      <c r="C26" s="233">
        <f t="shared" si="0"/>
        <v>78.234908136482943</v>
      </c>
      <c r="D26" s="124">
        <f>+D24+(2*F27)</f>
        <v>1987.1666666666667</v>
      </c>
      <c r="E26" s="241" t="s">
        <v>19</v>
      </c>
      <c r="F26" s="244" t="s">
        <v>143</v>
      </c>
      <c r="G26" s="669" t="s">
        <v>137</v>
      </c>
      <c r="H26" s="615"/>
      <c r="I26" s="615"/>
      <c r="J26" s="615"/>
      <c r="K26" s="615"/>
      <c r="L26" s="615"/>
      <c r="M26" s="616"/>
      <c r="N26" s="566"/>
    </row>
    <row r="27" spans="1:14" ht="18" customHeight="1" thickBot="1" x14ac:dyDescent="0.25">
      <c r="A27" s="1"/>
      <c r="B27" s="10" t="s">
        <v>21</v>
      </c>
      <c r="C27" s="233">
        <f t="shared" si="0"/>
        <v>184.16666666666666</v>
      </c>
      <c r="D27" s="124">
        <f>SQRT((D23^2)+(D24^2))</f>
        <v>4677.833333333333</v>
      </c>
      <c r="E27" s="12" t="s">
        <v>22</v>
      </c>
      <c r="F27" s="243">
        <f>IF(D23&gt;5079,200,94)</f>
        <v>94</v>
      </c>
      <c r="G27" s="16" t="s">
        <v>148</v>
      </c>
      <c r="H27" s="1"/>
      <c r="I27" s="1"/>
      <c r="J27" s="1"/>
      <c r="K27" s="1"/>
      <c r="L27" s="1"/>
      <c r="M27" s="15"/>
    </row>
    <row r="28" spans="1:14" ht="18" customHeight="1" thickBot="1" x14ac:dyDescent="0.25">
      <c r="A28" s="1"/>
      <c r="B28" s="17" t="s">
        <v>23</v>
      </c>
      <c r="C28" s="234">
        <f t="shared" si="0"/>
        <v>5.7086614173228352</v>
      </c>
      <c r="D28" s="130">
        <f>IF(C23&gt;200, 225, 145)</f>
        <v>145</v>
      </c>
      <c r="E28" s="18" t="s">
        <v>24</v>
      </c>
      <c r="F28" s="132">
        <v>25.4</v>
      </c>
      <c r="G28" s="19"/>
      <c r="H28" s="19"/>
      <c r="I28" s="716" t="s">
        <v>151</v>
      </c>
      <c r="J28" s="717"/>
      <c r="K28" s="717"/>
      <c r="L28" s="717"/>
      <c r="M28" s="687"/>
    </row>
    <row r="29" spans="1:14" ht="18" customHeight="1" thickBot="1" x14ac:dyDescent="0.25">
      <c r="A29" s="1"/>
      <c r="B29" s="86"/>
      <c r="C29" s="493"/>
      <c r="D29" s="353"/>
      <c r="E29" s="86"/>
      <c r="F29" s="354"/>
      <c r="G29" s="1"/>
      <c r="H29" s="1"/>
      <c r="I29" s="30"/>
      <c r="J29" s="302"/>
      <c r="K29" s="302"/>
      <c r="L29" s="302"/>
      <c r="M29" s="302"/>
    </row>
    <row r="30" spans="1:14" ht="18" customHeight="1" thickBot="1" x14ac:dyDescent="0.25">
      <c r="A30" s="1"/>
      <c r="B30" s="328"/>
      <c r="C30" s="498"/>
      <c r="D30" s="466"/>
      <c r="E30" s="331"/>
      <c r="F30" s="363"/>
      <c r="G30" s="207"/>
      <c r="H30" s="207"/>
      <c r="I30" s="499"/>
      <c r="J30" s="500"/>
      <c r="K30" s="500"/>
      <c r="L30" s="500"/>
      <c r="M30" s="501"/>
    </row>
    <row r="31" spans="1:14" ht="18" customHeight="1" thickBot="1" x14ac:dyDescent="0.25">
      <c r="A31" s="1"/>
      <c r="B31" s="608" t="s">
        <v>169</v>
      </c>
      <c r="C31" s="1"/>
      <c r="D31" s="1"/>
      <c r="E31" s="1"/>
      <c r="F31" s="354"/>
      <c r="G31" s="1"/>
      <c r="H31" s="1"/>
      <c r="I31" s="30"/>
      <c r="J31" s="302"/>
      <c r="K31" s="302"/>
      <c r="L31" s="302"/>
      <c r="M31" s="502"/>
    </row>
    <row r="32" spans="1:14" ht="18" customHeight="1" thickBot="1" x14ac:dyDescent="0.25">
      <c r="A32" s="1"/>
      <c r="B32" s="609"/>
      <c r="C32" s="1" t="s">
        <v>177</v>
      </c>
      <c r="D32" s="83"/>
      <c r="E32" s="342" t="s">
        <v>302</v>
      </c>
      <c r="F32" s="354"/>
      <c r="G32" s="1"/>
      <c r="H32" s="1"/>
      <c r="I32" s="30"/>
      <c r="J32" s="302"/>
      <c r="K32" s="302"/>
      <c r="L32" s="302"/>
      <c r="M32" s="502"/>
    </row>
    <row r="33" spans="1:13" ht="18" customHeight="1" thickBot="1" x14ac:dyDescent="0.25">
      <c r="A33" s="1"/>
      <c r="B33" s="610"/>
      <c r="C33" s="1" t="s">
        <v>178</v>
      </c>
      <c r="D33" s="83"/>
      <c r="E33" s="342"/>
      <c r="F33" s="354"/>
      <c r="G33" s="1"/>
      <c r="H33" s="1"/>
      <c r="I33" s="30"/>
      <c r="J33" s="302"/>
      <c r="K33" s="302"/>
      <c r="L33" s="302"/>
      <c r="M33" s="502"/>
    </row>
    <row r="34" spans="1:13" x14ac:dyDescent="0.2">
      <c r="A34" s="1"/>
      <c r="B34" s="209"/>
      <c r="C34" s="1"/>
      <c r="D34" s="1"/>
      <c r="E34" s="1"/>
      <c r="F34" s="1"/>
      <c r="G34" s="1"/>
      <c r="H34" s="1"/>
      <c r="I34" s="1"/>
      <c r="J34" s="1"/>
      <c r="K34" s="1"/>
      <c r="L34" s="1"/>
      <c r="M34" s="15"/>
    </row>
    <row r="35" spans="1:13" x14ac:dyDescent="0.2">
      <c r="A35" s="1"/>
      <c r="B35" s="209"/>
      <c r="C35" s="494" t="s">
        <v>101</v>
      </c>
      <c r="D35" s="51"/>
      <c r="E35" s="51"/>
      <c r="F35" s="51"/>
      <c r="G35" s="51"/>
      <c r="H35" s="51"/>
      <c r="I35" s="51"/>
      <c r="J35" s="51"/>
      <c r="K35" s="51"/>
      <c r="L35" s="51"/>
      <c r="M35" s="469"/>
    </row>
    <row r="36" spans="1:13" x14ac:dyDescent="0.2">
      <c r="A36" s="1"/>
      <c r="B36" s="209"/>
      <c r="C36" s="494"/>
      <c r="D36" s="51"/>
      <c r="E36" s="51"/>
      <c r="F36" s="51"/>
      <c r="G36" s="51"/>
      <c r="H36" s="51"/>
      <c r="I36" s="51"/>
      <c r="J36" s="51"/>
      <c r="K36" s="51"/>
      <c r="L36" s="51"/>
      <c r="M36" s="469"/>
    </row>
    <row r="37" spans="1:13" x14ac:dyDescent="0.2">
      <c r="A37" s="1"/>
      <c r="B37" s="209"/>
      <c r="C37" s="461" t="s">
        <v>102</v>
      </c>
      <c r="D37" s="461" t="s">
        <v>103</v>
      </c>
      <c r="E37" s="461" t="s">
        <v>104</v>
      </c>
      <c r="F37" s="461" t="s">
        <v>105</v>
      </c>
      <c r="G37" s="461" t="s">
        <v>106</v>
      </c>
      <c r="H37" s="1"/>
      <c r="I37" s="1"/>
      <c r="J37" s="1"/>
      <c r="K37" s="1"/>
      <c r="L37" s="1"/>
      <c r="M37" s="15"/>
    </row>
    <row r="38" spans="1:13" x14ac:dyDescent="0.2">
      <c r="A38" s="1"/>
      <c r="B38" s="209"/>
      <c r="C38" s="158">
        <f>F23</f>
        <v>2.4</v>
      </c>
      <c r="D38" s="174">
        <f t="shared" ref="D38:D42" si="1">+$D$24</f>
        <v>1799.1666666666667</v>
      </c>
      <c r="E38" s="431">
        <f t="shared" ref="E38:E42" si="2">+D38*C38</f>
        <v>4318</v>
      </c>
      <c r="F38" s="431">
        <f>D23-E38</f>
        <v>0</v>
      </c>
      <c r="G38" s="464">
        <f>+E38/D23</f>
        <v>1</v>
      </c>
      <c r="H38" s="1"/>
      <c r="I38" s="1"/>
      <c r="J38" s="1"/>
      <c r="K38" s="1"/>
      <c r="L38" s="1"/>
      <c r="M38" s="15"/>
    </row>
    <row r="39" spans="1:13" hidden="1" x14ac:dyDescent="0.2">
      <c r="A39" s="1"/>
      <c r="B39" s="209"/>
      <c r="C39" s="158">
        <v>2.35</v>
      </c>
      <c r="D39" s="174">
        <f t="shared" si="1"/>
        <v>1799.1666666666667</v>
      </c>
      <c r="E39" s="431">
        <f t="shared" si="2"/>
        <v>4228.041666666667</v>
      </c>
      <c r="F39" s="431">
        <f>D23-E39</f>
        <v>89.95833333333303</v>
      </c>
      <c r="G39" s="464">
        <f>+E39/D23</f>
        <v>0.97916666666666674</v>
      </c>
      <c r="H39" s="1"/>
      <c r="I39" s="1"/>
      <c r="J39" s="1"/>
      <c r="K39" s="1"/>
      <c r="L39" s="1"/>
      <c r="M39" s="15"/>
    </row>
    <row r="40" spans="1:13" x14ac:dyDescent="0.2">
      <c r="A40" s="1"/>
      <c r="B40" s="209"/>
      <c r="C40" s="158">
        <v>1.85</v>
      </c>
      <c r="D40" s="174">
        <f t="shared" si="1"/>
        <v>1799.1666666666667</v>
      </c>
      <c r="E40" s="431">
        <f t="shared" si="2"/>
        <v>3328.4583333333335</v>
      </c>
      <c r="F40" s="431">
        <f>D23-E40</f>
        <v>989.54166666666652</v>
      </c>
      <c r="G40" s="464">
        <f>+E40/D23</f>
        <v>0.77083333333333337</v>
      </c>
      <c r="H40" s="1"/>
      <c r="I40" s="1"/>
      <c r="J40" s="1"/>
      <c r="K40" s="1"/>
      <c r="L40" s="1"/>
      <c r="M40" s="15"/>
    </row>
    <row r="41" spans="1:13" x14ac:dyDescent="0.2">
      <c r="A41" s="1"/>
      <c r="B41" s="209"/>
      <c r="C41" s="158">
        <v>1.78</v>
      </c>
      <c r="D41" s="174">
        <f t="shared" si="1"/>
        <v>1799.1666666666667</v>
      </c>
      <c r="E41" s="431">
        <f t="shared" si="2"/>
        <v>3202.5166666666669</v>
      </c>
      <c r="F41" s="431">
        <f>D23-E41</f>
        <v>1115.4833333333331</v>
      </c>
      <c r="G41" s="464">
        <f>+E41/D23</f>
        <v>0.7416666666666667</v>
      </c>
      <c r="H41" s="1"/>
      <c r="I41" s="1"/>
      <c r="J41" s="1"/>
      <c r="K41" s="1"/>
      <c r="L41" s="1"/>
      <c r="M41" s="15"/>
    </row>
    <row r="42" spans="1:13" x14ac:dyDescent="0.2">
      <c r="A42" s="1"/>
      <c r="B42" s="209"/>
      <c r="C42" s="158">
        <v>1.33</v>
      </c>
      <c r="D42" s="174">
        <f t="shared" si="1"/>
        <v>1799.1666666666667</v>
      </c>
      <c r="E42" s="431">
        <f t="shared" si="2"/>
        <v>2392.8916666666669</v>
      </c>
      <c r="F42" s="431">
        <f>D23-E42</f>
        <v>1925.1083333333331</v>
      </c>
      <c r="G42" s="464">
        <f>+E42/D23</f>
        <v>0.5541666666666667</v>
      </c>
      <c r="H42" s="211" t="s">
        <v>110</v>
      </c>
      <c r="I42" s="1"/>
      <c r="J42" s="1"/>
      <c r="K42" s="1"/>
      <c r="L42" s="1"/>
      <c r="M42" s="15"/>
    </row>
    <row r="43" spans="1:13" x14ac:dyDescent="0.2">
      <c r="A43" s="1"/>
      <c r="B43" s="209"/>
      <c r="C43" s="212"/>
      <c r="D43" s="213"/>
      <c r="E43" s="213"/>
      <c r="F43" s="31"/>
      <c r="G43" s="31"/>
      <c r="H43" s="214"/>
      <c r="I43" s="1"/>
      <c r="J43" s="1"/>
      <c r="K43" s="1"/>
      <c r="L43" s="1"/>
      <c r="M43" s="15"/>
    </row>
    <row r="44" spans="1:13" ht="16" customHeight="1" x14ac:dyDescent="0.2">
      <c r="A44" s="1"/>
      <c r="B44" s="209"/>
      <c r="C44" s="50" t="s">
        <v>152</v>
      </c>
      <c r="D44" s="55"/>
      <c r="E44" s="55"/>
      <c r="F44" s="55"/>
      <c r="G44" s="55"/>
      <c r="H44" s="55"/>
      <c r="I44" s="55"/>
      <c r="J44" s="55"/>
      <c r="K44" s="55"/>
      <c r="L44" s="55"/>
      <c r="M44" s="215"/>
    </row>
    <row r="45" spans="1:13" ht="7" customHeight="1" x14ac:dyDescent="0.2">
      <c r="A45" s="1"/>
      <c r="B45" s="225"/>
      <c r="C45" s="54"/>
      <c r="D45" s="1"/>
      <c r="E45" s="1"/>
      <c r="F45" s="1"/>
      <c r="G45" s="1"/>
      <c r="H45" s="1"/>
      <c r="I45" s="1"/>
      <c r="J45" s="1"/>
      <c r="K45" s="1"/>
      <c r="L45" s="1"/>
      <c r="M45" s="15"/>
    </row>
    <row r="46" spans="1:13" ht="16" customHeight="1" x14ac:dyDescent="0.2">
      <c r="A46" s="1"/>
      <c r="B46" s="209"/>
      <c r="C46" s="430" t="s">
        <v>26</v>
      </c>
      <c r="D46" s="143"/>
      <c r="E46" s="699" t="s">
        <v>27</v>
      </c>
      <c r="F46" s="699"/>
      <c r="G46" s="461" t="s">
        <v>3</v>
      </c>
      <c r="H46" s="461" t="s">
        <v>4</v>
      </c>
      <c r="I46" s="1"/>
      <c r="J46" s="1"/>
      <c r="K46" s="1"/>
      <c r="L46" s="1"/>
      <c r="M46" s="15"/>
    </row>
    <row r="47" spans="1:13" ht="16" hidden="1" customHeight="1" x14ac:dyDescent="0.2">
      <c r="A47" s="1"/>
      <c r="B47" s="209"/>
      <c r="C47" s="143" t="s">
        <v>59</v>
      </c>
      <c r="D47" s="143"/>
      <c r="E47" s="495" t="s">
        <v>31</v>
      </c>
      <c r="F47" s="496" t="s">
        <v>113</v>
      </c>
      <c r="G47" s="144">
        <v>140</v>
      </c>
      <c r="H47" s="431">
        <f>G47*25.4</f>
        <v>3556</v>
      </c>
      <c r="I47" s="1"/>
      <c r="J47" s="1"/>
      <c r="K47" s="1"/>
      <c r="L47" s="1"/>
      <c r="M47" s="15"/>
    </row>
    <row r="48" spans="1:13" ht="16" hidden="1" customHeight="1" x14ac:dyDescent="0.2">
      <c r="A48" s="1"/>
      <c r="B48" s="209"/>
      <c r="C48" s="143" t="s">
        <v>60</v>
      </c>
      <c r="D48" s="143"/>
      <c r="E48" s="495" t="s">
        <v>31</v>
      </c>
      <c r="F48" s="496" t="s">
        <v>113</v>
      </c>
      <c r="G48" s="144">
        <v>140</v>
      </c>
      <c r="H48" s="144">
        <f>G48*25.4</f>
        <v>3556</v>
      </c>
      <c r="I48" s="1"/>
      <c r="J48" s="1"/>
      <c r="K48" s="1"/>
      <c r="L48" s="1"/>
      <c r="M48" s="15"/>
    </row>
    <row r="49" spans="1:13" ht="16" customHeight="1" x14ac:dyDescent="0.2">
      <c r="A49" s="1"/>
      <c r="B49" s="209"/>
      <c r="C49" s="143" t="s">
        <v>28</v>
      </c>
      <c r="D49" s="143"/>
      <c r="E49" s="495" t="s">
        <v>31</v>
      </c>
      <c r="F49" s="496" t="s">
        <v>113</v>
      </c>
      <c r="G49" s="144">
        <v>256</v>
      </c>
      <c r="H49" s="431">
        <f>G49*25.4</f>
        <v>6502.4</v>
      </c>
      <c r="I49" s="1"/>
      <c r="J49" s="1"/>
      <c r="K49" s="1"/>
      <c r="L49" s="1"/>
      <c r="M49" s="15"/>
    </row>
    <row r="50" spans="1:13" x14ac:dyDescent="0.2">
      <c r="A50" s="1"/>
      <c r="B50" s="209"/>
      <c r="C50" s="143" t="s">
        <v>165</v>
      </c>
      <c r="D50" s="143"/>
      <c r="E50" s="495" t="s">
        <v>31</v>
      </c>
      <c r="F50" s="496" t="s">
        <v>113</v>
      </c>
      <c r="G50" s="497">
        <v>160</v>
      </c>
      <c r="H50" s="431">
        <f>G50*25.4</f>
        <v>4064</v>
      </c>
      <c r="I50" s="1"/>
      <c r="J50" s="1"/>
      <c r="K50" s="1"/>
      <c r="L50" s="1"/>
      <c r="M50" s="15"/>
    </row>
    <row r="51" spans="1:13" x14ac:dyDescent="0.2">
      <c r="A51" s="1"/>
      <c r="B51" s="209"/>
      <c r="C51" s="1"/>
      <c r="D51" s="1"/>
      <c r="E51" s="1"/>
      <c r="F51" s="1"/>
      <c r="G51" s="1"/>
      <c r="H51" s="1"/>
      <c r="I51" s="1"/>
      <c r="J51" s="1"/>
      <c r="K51" s="1"/>
      <c r="L51" s="1"/>
      <c r="M51" s="15"/>
    </row>
    <row r="52" spans="1:13" x14ac:dyDescent="0.2">
      <c r="A52" s="1"/>
      <c r="B52" s="209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55"/>
      <c r="M52" s="215"/>
    </row>
    <row r="53" spans="1:13" x14ac:dyDescent="0.2">
      <c r="A53" s="1"/>
      <c r="B53" s="225"/>
      <c r="C53" s="1" t="s">
        <v>114</v>
      </c>
      <c r="D53" s="1"/>
      <c r="E53" s="1"/>
      <c r="F53" s="1"/>
      <c r="G53" s="1"/>
      <c r="H53" s="1"/>
      <c r="I53" s="1"/>
      <c r="J53" s="1"/>
      <c r="K53" s="1"/>
      <c r="L53" s="1"/>
      <c r="M53" s="15"/>
    </row>
    <row r="54" spans="1:13" x14ac:dyDescent="0.2">
      <c r="A54" s="1"/>
      <c r="B54" s="209"/>
      <c r="C54" s="1"/>
      <c r="D54" s="1"/>
      <c r="E54" s="1"/>
      <c r="F54" s="1"/>
      <c r="G54" s="1"/>
      <c r="H54" s="1"/>
      <c r="I54" s="1"/>
      <c r="J54" s="1"/>
      <c r="K54" s="1"/>
      <c r="L54" s="1"/>
      <c r="M54" s="15"/>
    </row>
    <row r="55" spans="1:13" ht="24" thickBot="1" x14ac:dyDescent="0.35">
      <c r="A55" s="1"/>
      <c r="B55" s="209"/>
      <c r="C55" s="503" t="s">
        <v>36</v>
      </c>
      <c r="D55" s="1"/>
      <c r="E55" s="1"/>
      <c r="F55" s="1"/>
      <c r="G55" s="1"/>
      <c r="H55" s="1"/>
      <c r="I55" s="1"/>
      <c r="J55" s="1"/>
      <c r="K55" s="1"/>
      <c r="L55" s="1"/>
      <c r="M55" s="15"/>
    </row>
    <row r="56" spans="1:13" x14ac:dyDescent="0.2">
      <c r="A56" s="1"/>
      <c r="B56" s="205"/>
      <c r="C56" s="207" t="s">
        <v>37</v>
      </c>
      <c r="D56" s="207"/>
      <c r="E56" s="207"/>
      <c r="F56" s="207"/>
      <c r="G56" s="207"/>
      <c r="H56" s="207"/>
      <c r="I56" s="207"/>
      <c r="J56" s="207"/>
      <c r="K56" s="207"/>
      <c r="L56" s="207"/>
      <c r="M56" s="208"/>
    </row>
    <row r="57" spans="1:13" x14ac:dyDescent="0.2">
      <c r="A57" s="1"/>
      <c r="B57" s="209"/>
      <c r="C57" s="1" t="s">
        <v>115</v>
      </c>
      <c r="D57" s="1"/>
      <c r="E57" s="1"/>
      <c r="F57" s="1"/>
      <c r="G57" s="1"/>
      <c r="H57" s="1"/>
      <c r="I57" s="1"/>
      <c r="J57" s="1"/>
      <c r="K57" s="1"/>
      <c r="L57" s="1"/>
      <c r="M57" s="15"/>
    </row>
    <row r="58" spans="1:13" ht="4" customHeight="1" x14ac:dyDescent="0.2">
      <c r="A58" s="1"/>
      <c r="B58" s="209"/>
      <c r="C58" s="1"/>
      <c r="D58" s="1"/>
      <c r="E58" s="1"/>
      <c r="F58" s="1"/>
      <c r="G58" s="1"/>
      <c r="H58" s="1"/>
      <c r="I58" s="1"/>
      <c r="J58" s="1"/>
      <c r="K58" s="1"/>
      <c r="L58" s="1"/>
      <c r="M58" s="15"/>
    </row>
    <row r="59" spans="1:13" x14ac:dyDescent="0.2">
      <c r="A59" s="1"/>
      <c r="B59" s="209"/>
      <c r="C59" s="12" t="s">
        <v>108</v>
      </c>
      <c r="D59" s="12">
        <v>2</v>
      </c>
      <c r="E59" s="219"/>
      <c r="F59" s="219"/>
      <c r="G59" s="51"/>
      <c r="H59" s="51"/>
      <c r="I59" s="87"/>
      <c r="J59" s="1"/>
      <c r="K59" s="1"/>
      <c r="L59" s="1"/>
      <c r="M59" s="15"/>
    </row>
    <row r="60" spans="1:13" x14ac:dyDescent="0.2">
      <c r="A60" s="1"/>
      <c r="B60" s="209"/>
      <c r="C60" s="220" t="s">
        <v>39</v>
      </c>
      <c r="D60" s="221">
        <f>+D26+110</f>
        <v>2097.166666666667</v>
      </c>
      <c r="E60" s="143" t="s">
        <v>4</v>
      </c>
      <c r="F60" s="143" t="s">
        <v>40</v>
      </c>
      <c r="G60" s="83"/>
      <c r="H60" s="216"/>
      <c r="I60" s="1"/>
      <c r="J60" s="1"/>
      <c r="K60" s="1"/>
      <c r="L60" s="1"/>
      <c r="M60" s="15"/>
    </row>
    <row r="61" spans="1:13" x14ac:dyDescent="0.2">
      <c r="A61" s="1"/>
      <c r="B61" s="209"/>
      <c r="C61" s="220" t="s">
        <v>41</v>
      </c>
      <c r="D61" s="222">
        <f>((D25-(D26-188))/2)+110</f>
        <v>1483.4166666666665</v>
      </c>
      <c r="E61" s="143" t="s">
        <v>4</v>
      </c>
      <c r="F61" s="143" t="s">
        <v>40</v>
      </c>
      <c r="G61" s="83"/>
      <c r="H61" s="31"/>
      <c r="I61" s="1"/>
      <c r="J61" s="1"/>
      <c r="K61" s="1"/>
      <c r="L61" s="1"/>
      <c r="M61" s="15"/>
    </row>
    <row r="62" spans="1:13" x14ac:dyDescent="0.2">
      <c r="A62" s="1"/>
      <c r="B62" s="209"/>
      <c r="C62" s="220" t="s">
        <v>42</v>
      </c>
      <c r="D62" s="223">
        <v>350</v>
      </c>
      <c r="E62" s="143" t="s">
        <v>4</v>
      </c>
      <c r="F62" s="143" t="s">
        <v>40</v>
      </c>
      <c r="G62" s="83"/>
      <c r="H62" s="213"/>
      <c r="I62" s="1"/>
      <c r="J62" s="1"/>
      <c r="K62" s="1"/>
      <c r="L62" s="1"/>
      <c r="M62" s="15"/>
    </row>
    <row r="63" spans="1:13" x14ac:dyDescent="0.2">
      <c r="A63" s="1"/>
      <c r="B63" s="209"/>
      <c r="C63" s="220" t="s">
        <v>43</v>
      </c>
      <c r="D63" s="224">
        <f>IF(C23&lt;140,C23*1.15,C23*1.15)</f>
        <v>195.49999999999997</v>
      </c>
      <c r="E63" s="143" t="s">
        <v>44</v>
      </c>
      <c r="F63" s="143" t="s">
        <v>45</v>
      </c>
      <c r="G63" s="83"/>
      <c r="H63" s="37"/>
      <c r="I63" s="1"/>
      <c r="J63" s="1"/>
      <c r="K63" s="1"/>
      <c r="L63" s="1"/>
      <c r="M63" s="15"/>
    </row>
    <row r="64" spans="1:13" x14ac:dyDescent="0.2">
      <c r="A64" s="1"/>
      <c r="B64" s="209"/>
      <c r="C64" s="1"/>
      <c r="D64" s="1"/>
      <c r="E64" s="1"/>
      <c r="F64" s="213"/>
      <c r="G64" s="1"/>
      <c r="H64" s="1"/>
      <c r="I64" s="1"/>
      <c r="J64" s="1"/>
      <c r="K64" s="1"/>
      <c r="L64" s="1"/>
      <c r="M64" s="15"/>
    </row>
    <row r="65" spans="1:13" ht="16" thickBot="1" x14ac:dyDescent="0.25">
      <c r="A65" s="1"/>
      <c r="B65" s="217"/>
      <c r="C65" s="19"/>
      <c r="D65" s="19"/>
      <c r="E65" s="19"/>
      <c r="F65" s="218"/>
      <c r="G65" s="19"/>
      <c r="H65" s="19"/>
      <c r="I65" s="19"/>
      <c r="J65" s="19"/>
      <c r="K65" s="19"/>
      <c r="L65" s="19"/>
      <c r="M65" s="28"/>
    </row>
  </sheetData>
  <sheetProtection algorithmName="SHA-512" hashValue="+VPrKJfwnkTCwVUNwkPCPKgUwRy1MKXgoRxu08IKzu/2czTAjfW36rze4y47kJmEbG0AHlhvLDfc5PZd/vIDDg==" saltValue="DgxQnnrbFhOGdHp0UqLxpA==" spinCount="100000" sheet="1" objects="1" scenarios="1"/>
  <mergeCells count="12">
    <mergeCell ref="E46:F46"/>
    <mergeCell ref="F24:G24"/>
    <mergeCell ref="I24:M24"/>
    <mergeCell ref="B1:M1"/>
    <mergeCell ref="B2:M2"/>
    <mergeCell ref="F22:G22"/>
    <mergeCell ref="I22:M22"/>
    <mergeCell ref="F23:G23"/>
    <mergeCell ref="I23:M23"/>
    <mergeCell ref="I28:M28"/>
    <mergeCell ref="B31:B33"/>
    <mergeCell ref="G26:M26"/>
  </mergeCells>
  <phoneticPr fontId="4" type="noConversion"/>
  <pageMargins left="0.75000000000000011" right="0.75000000000000011" top="1" bottom="1" header="0.5" footer="0.5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5FC-A9BE-7040-9E58-208FF93CA010}">
  <dimension ref="B2:J73"/>
  <sheetViews>
    <sheetView topLeftCell="C66" workbookViewId="0">
      <selection activeCell="E64" sqref="E64"/>
    </sheetView>
  </sheetViews>
  <sheetFormatPr baseColWidth="10" defaultRowHeight="15" x14ac:dyDescent="0.2"/>
  <cols>
    <col min="1" max="1" width="10.83203125" style="1"/>
    <col min="2" max="2" width="18.5" style="1" customWidth="1"/>
    <col min="3" max="3" width="57.5" style="1" customWidth="1"/>
    <col min="4" max="4" width="30.1640625" style="1" customWidth="1"/>
    <col min="5" max="5" width="17.83203125" style="1" bestFit="1" customWidth="1"/>
    <col min="6" max="6" width="19.1640625" style="1" bestFit="1" customWidth="1"/>
    <col min="7" max="7" width="22.5" style="1" bestFit="1" customWidth="1"/>
    <col min="8" max="8" width="13.5" style="1" customWidth="1"/>
    <col min="9" max="9" width="17.5" style="1" customWidth="1"/>
    <col min="10" max="10" width="21" style="52" customWidth="1"/>
    <col min="11" max="16384" width="10.83203125" style="1"/>
  </cols>
  <sheetData>
    <row r="2" spans="2:10" ht="30" x14ac:dyDescent="0.35">
      <c r="B2" s="384" t="s">
        <v>189</v>
      </c>
    </row>
    <row r="4" spans="2:10" ht="20" x14ac:dyDescent="0.25">
      <c r="B4" s="34" t="s">
        <v>190</v>
      </c>
      <c r="C4" s="34"/>
      <c r="D4" s="34"/>
      <c r="E4" s="34"/>
      <c r="F4" s="34"/>
      <c r="G4" s="34"/>
      <c r="H4" s="34"/>
      <c r="I4" s="34"/>
      <c r="J4" s="380"/>
    </row>
    <row r="5" spans="2:10" ht="20" x14ac:dyDescent="0.25">
      <c r="B5" s="34" t="s">
        <v>191</v>
      </c>
      <c r="C5" s="34"/>
      <c r="D5" s="34"/>
      <c r="E5" s="34"/>
      <c r="F5" s="34"/>
      <c r="G5" s="34"/>
      <c r="H5" s="34"/>
      <c r="I5" s="34"/>
      <c r="J5" s="380"/>
    </row>
    <row r="6" spans="2:10" ht="21" thickBot="1" x14ac:dyDescent="0.3">
      <c r="B6" s="34"/>
      <c r="C6" s="34"/>
      <c r="D6" s="34"/>
      <c r="E6" s="34"/>
      <c r="F6" s="34"/>
      <c r="G6" s="34"/>
      <c r="H6" s="34"/>
      <c r="I6" s="34"/>
      <c r="J6" s="380"/>
    </row>
    <row r="7" spans="2:10" s="52" customFormat="1" ht="21" thickBot="1" x14ac:dyDescent="0.3">
      <c r="B7" s="377" t="s">
        <v>192</v>
      </c>
      <c r="C7" s="378" t="s">
        <v>195</v>
      </c>
      <c r="D7" s="379" t="s">
        <v>193</v>
      </c>
      <c r="E7" s="380"/>
      <c r="F7" s="380"/>
      <c r="G7" s="380"/>
      <c r="H7" s="380"/>
      <c r="I7" s="380"/>
      <c r="J7" s="380"/>
    </row>
    <row r="8" spans="2:10" ht="20" x14ac:dyDescent="0.25">
      <c r="B8" s="376"/>
      <c r="C8" s="369"/>
      <c r="D8" s="370"/>
      <c r="E8" s="34"/>
      <c r="F8" s="34"/>
      <c r="G8" s="34"/>
      <c r="H8" s="34"/>
      <c r="I8" s="34"/>
      <c r="J8" s="380"/>
    </row>
    <row r="9" spans="2:10" ht="20" x14ac:dyDescent="0.25">
      <c r="B9" s="371" t="s">
        <v>194</v>
      </c>
      <c r="C9" s="368" t="s">
        <v>196</v>
      </c>
      <c r="D9" s="372" t="s">
        <v>197</v>
      </c>
      <c r="E9" s="34"/>
      <c r="F9" s="34"/>
      <c r="G9" s="34"/>
      <c r="H9" s="34"/>
      <c r="I9" s="34"/>
      <c r="J9" s="380"/>
    </row>
    <row r="10" spans="2:10" ht="20" x14ac:dyDescent="0.25">
      <c r="B10" s="371" t="s">
        <v>198</v>
      </c>
      <c r="C10" s="368" t="s">
        <v>196</v>
      </c>
      <c r="D10" s="372" t="s">
        <v>197</v>
      </c>
      <c r="E10" s="34"/>
      <c r="F10" s="34"/>
      <c r="G10" s="34"/>
      <c r="H10" s="34"/>
      <c r="I10" s="34"/>
      <c r="J10" s="380"/>
    </row>
    <row r="11" spans="2:10" ht="20" x14ac:dyDescent="0.25">
      <c r="B11" s="371" t="s">
        <v>199</v>
      </c>
      <c r="C11" s="368" t="s">
        <v>196</v>
      </c>
      <c r="D11" s="372" t="s">
        <v>197</v>
      </c>
      <c r="E11" s="34"/>
      <c r="F11" s="34"/>
      <c r="G11" s="34"/>
      <c r="H11" s="34"/>
      <c r="I11" s="34"/>
      <c r="J11" s="380"/>
    </row>
    <row r="12" spans="2:10" ht="20" x14ac:dyDescent="0.25">
      <c r="B12" s="371" t="s">
        <v>200</v>
      </c>
      <c r="C12" s="368" t="s">
        <v>196</v>
      </c>
      <c r="D12" s="372"/>
      <c r="E12" s="34"/>
      <c r="F12" s="34"/>
      <c r="G12" s="34"/>
      <c r="H12" s="34"/>
      <c r="I12" s="34"/>
      <c r="J12" s="380"/>
    </row>
    <row r="13" spans="2:10" ht="20" x14ac:dyDescent="0.25">
      <c r="B13" s="371" t="s">
        <v>201</v>
      </c>
      <c r="C13" s="368" t="s">
        <v>196</v>
      </c>
      <c r="D13" s="372" t="s">
        <v>202</v>
      </c>
      <c r="E13" s="34"/>
      <c r="F13" s="34"/>
      <c r="G13" s="34"/>
      <c r="H13" s="34"/>
      <c r="I13" s="34"/>
      <c r="J13" s="380"/>
    </row>
    <row r="14" spans="2:10" ht="20" x14ac:dyDescent="0.25">
      <c r="B14" s="371" t="s">
        <v>203</v>
      </c>
      <c r="C14" s="368" t="s">
        <v>196</v>
      </c>
      <c r="D14" s="372" t="s">
        <v>197</v>
      </c>
      <c r="E14" s="34"/>
      <c r="F14" s="34"/>
      <c r="G14" s="34"/>
      <c r="H14" s="34"/>
      <c r="I14" s="34"/>
      <c r="J14" s="380"/>
    </row>
    <row r="15" spans="2:10" ht="20" x14ac:dyDescent="0.25">
      <c r="B15" s="371" t="s">
        <v>204</v>
      </c>
      <c r="C15" s="368" t="s">
        <v>205</v>
      </c>
      <c r="D15" s="372" t="s">
        <v>207</v>
      </c>
      <c r="E15" s="34"/>
      <c r="F15" s="34"/>
      <c r="G15" s="34"/>
      <c r="H15" s="34"/>
      <c r="I15" s="34"/>
      <c r="J15" s="380"/>
    </row>
    <row r="16" spans="2:10" ht="20" x14ac:dyDescent="0.25">
      <c r="B16" s="371" t="s">
        <v>206</v>
      </c>
      <c r="C16" s="368" t="s">
        <v>205</v>
      </c>
      <c r="D16" s="372" t="s">
        <v>207</v>
      </c>
      <c r="E16" s="34"/>
      <c r="F16" s="34"/>
      <c r="G16" s="34"/>
      <c r="H16" s="34"/>
      <c r="I16" s="34"/>
      <c r="J16" s="380"/>
    </row>
    <row r="17" spans="2:10" ht="20" x14ac:dyDescent="0.25">
      <c r="B17" s="371" t="s">
        <v>208</v>
      </c>
      <c r="C17" s="368" t="s">
        <v>205</v>
      </c>
      <c r="D17" s="372" t="s">
        <v>207</v>
      </c>
      <c r="E17" s="34"/>
      <c r="F17" s="34"/>
      <c r="G17" s="34"/>
      <c r="H17" s="34"/>
      <c r="I17" s="34"/>
      <c r="J17" s="380"/>
    </row>
    <row r="18" spans="2:10" ht="20" x14ac:dyDescent="0.25">
      <c r="B18" s="371" t="s">
        <v>209</v>
      </c>
      <c r="C18" s="368" t="s">
        <v>205</v>
      </c>
      <c r="D18" s="372" t="s">
        <v>207</v>
      </c>
      <c r="E18" s="34"/>
      <c r="F18" s="34"/>
      <c r="G18" s="34"/>
      <c r="H18" s="34"/>
      <c r="I18" s="34"/>
      <c r="J18" s="380"/>
    </row>
    <row r="19" spans="2:10" ht="20" x14ac:dyDescent="0.25">
      <c r="B19" s="371" t="s">
        <v>210</v>
      </c>
      <c r="C19" s="368" t="s">
        <v>215</v>
      </c>
      <c r="D19" s="372" t="s">
        <v>207</v>
      </c>
      <c r="E19" s="34"/>
      <c r="F19" s="34"/>
      <c r="G19" s="34"/>
      <c r="H19" s="34"/>
      <c r="I19" s="34"/>
      <c r="J19" s="380"/>
    </row>
    <row r="20" spans="2:10" ht="20" x14ac:dyDescent="0.25">
      <c r="B20" s="371" t="s">
        <v>211</v>
      </c>
      <c r="C20" s="368" t="s">
        <v>216</v>
      </c>
      <c r="D20" s="372" t="s">
        <v>207</v>
      </c>
      <c r="E20" s="34"/>
      <c r="F20" s="34"/>
      <c r="G20" s="34"/>
      <c r="H20" s="34"/>
      <c r="I20" s="34"/>
      <c r="J20" s="380"/>
    </row>
    <row r="21" spans="2:10" ht="20" x14ac:dyDescent="0.25">
      <c r="B21" s="371" t="s">
        <v>212</v>
      </c>
      <c r="C21" s="368" t="s">
        <v>216</v>
      </c>
      <c r="D21" s="372" t="s">
        <v>207</v>
      </c>
      <c r="E21" s="34"/>
      <c r="F21" s="34"/>
      <c r="G21" s="34"/>
      <c r="H21" s="34"/>
      <c r="I21" s="34"/>
      <c r="J21" s="380"/>
    </row>
    <row r="22" spans="2:10" ht="20" x14ac:dyDescent="0.25">
      <c r="B22" s="371" t="s">
        <v>222</v>
      </c>
      <c r="C22" s="368" t="s">
        <v>216</v>
      </c>
      <c r="D22" s="372" t="s">
        <v>207</v>
      </c>
      <c r="E22" s="34"/>
      <c r="F22" s="34"/>
      <c r="G22" s="34"/>
      <c r="H22" s="34"/>
      <c r="I22" s="34"/>
      <c r="J22" s="380"/>
    </row>
    <row r="23" spans="2:10" ht="20" x14ac:dyDescent="0.25">
      <c r="B23" s="371" t="s">
        <v>214</v>
      </c>
      <c r="C23" s="368" t="s">
        <v>216</v>
      </c>
      <c r="D23" s="372" t="s">
        <v>207</v>
      </c>
      <c r="E23" s="34"/>
      <c r="F23" s="34"/>
      <c r="G23" s="34"/>
      <c r="H23" s="34"/>
      <c r="I23" s="34"/>
      <c r="J23" s="380"/>
    </row>
    <row r="24" spans="2:10" ht="21" thickBot="1" x14ac:dyDescent="0.3">
      <c r="B24" s="373" t="s">
        <v>213</v>
      </c>
      <c r="C24" s="374" t="s">
        <v>216</v>
      </c>
      <c r="D24" s="375" t="s">
        <v>207</v>
      </c>
      <c r="E24" s="34"/>
      <c r="F24" s="34"/>
      <c r="G24" s="34"/>
      <c r="H24" s="34"/>
      <c r="I24" s="34"/>
      <c r="J24" s="380"/>
    </row>
    <row r="25" spans="2:10" ht="20" x14ac:dyDescent="0.25">
      <c r="B25" s="34"/>
      <c r="C25" s="34"/>
      <c r="D25" s="34"/>
      <c r="E25" s="34"/>
      <c r="F25" s="34"/>
      <c r="G25" s="34"/>
      <c r="H25" s="34"/>
      <c r="I25" s="34"/>
      <c r="J25" s="380"/>
    </row>
    <row r="26" spans="2:10" ht="20" x14ac:dyDescent="0.25">
      <c r="B26" s="34" t="s">
        <v>217</v>
      </c>
      <c r="C26" s="34"/>
      <c r="D26" s="34"/>
      <c r="E26" s="34"/>
      <c r="F26" s="34"/>
      <c r="G26" s="34"/>
      <c r="H26" s="34"/>
      <c r="I26" s="34"/>
      <c r="J26" s="380"/>
    </row>
    <row r="27" spans="2:10" ht="20" x14ac:dyDescent="0.25">
      <c r="B27" s="367" t="s">
        <v>218</v>
      </c>
      <c r="C27" s="34"/>
      <c r="D27" s="34"/>
      <c r="E27" s="34"/>
      <c r="F27" s="34"/>
      <c r="G27" s="34"/>
      <c r="H27" s="34"/>
      <c r="I27" s="34"/>
      <c r="J27" s="380"/>
    </row>
    <row r="28" spans="2:10" ht="20" x14ac:dyDescent="0.25">
      <c r="B28" s="34" t="s">
        <v>219</v>
      </c>
      <c r="C28" s="34"/>
      <c r="D28" s="34"/>
      <c r="E28" s="34"/>
      <c r="F28" s="34"/>
      <c r="G28" s="34"/>
      <c r="H28" s="34"/>
      <c r="I28" s="34"/>
      <c r="J28" s="380"/>
    </row>
    <row r="29" spans="2:10" ht="20" x14ac:dyDescent="0.25">
      <c r="B29" s="34" t="s">
        <v>220</v>
      </c>
      <c r="C29" s="34"/>
      <c r="D29" s="34"/>
      <c r="E29" s="34"/>
      <c r="F29" s="34"/>
      <c r="G29" s="34"/>
      <c r="H29" s="34"/>
      <c r="I29" s="34"/>
      <c r="J29" s="380"/>
    </row>
    <row r="30" spans="2:10" ht="20" x14ac:dyDescent="0.25">
      <c r="B30" s="34" t="s">
        <v>221</v>
      </c>
      <c r="C30" s="34"/>
      <c r="D30" s="34"/>
      <c r="E30" s="34"/>
      <c r="F30" s="34"/>
      <c r="G30" s="34"/>
      <c r="H30" s="34"/>
      <c r="I30" s="34"/>
      <c r="J30" s="380"/>
    </row>
    <row r="31" spans="2:10" ht="20" x14ac:dyDescent="0.25">
      <c r="B31" s="34" t="s">
        <v>223</v>
      </c>
      <c r="C31" s="34"/>
      <c r="D31" s="34"/>
      <c r="E31" s="34"/>
      <c r="F31" s="34"/>
      <c r="G31" s="34"/>
      <c r="H31" s="34"/>
      <c r="I31" s="34"/>
      <c r="J31" s="380"/>
    </row>
    <row r="32" spans="2:10" ht="20" x14ac:dyDescent="0.25">
      <c r="B32" s="34" t="s">
        <v>224</v>
      </c>
      <c r="C32" s="34"/>
      <c r="D32" s="34"/>
      <c r="E32" s="34"/>
      <c r="F32" s="34"/>
      <c r="G32" s="34"/>
      <c r="H32" s="34"/>
      <c r="I32" s="34"/>
      <c r="J32" s="380"/>
    </row>
    <row r="33" spans="2:10" ht="20" x14ac:dyDescent="0.25">
      <c r="B33" s="34"/>
      <c r="C33" s="34"/>
      <c r="D33" s="34"/>
      <c r="E33" s="34"/>
      <c r="F33" s="34"/>
      <c r="G33" s="34"/>
      <c r="H33" s="34"/>
      <c r="I33" s="34"/>
      <c r="J33" s="380"/>
    </row>
    <row r="34" spans="2:10" ht="20" x14ac:dyDescent="0.25">
      <c r="B34" s="368" t="s">
        <v>225</v>
      </c>
      <c r="C34" s="34"/>
      <c r="D34" s="34"/>
      <c r="E34" s="34"/>
      <c r="F34" s="34"/>
      <c r="G34" s="34"/>
      <c r="H34" s="34"/>
      <c r="I34" s="34"/>
      <c r="J34" s="380"/>
    </row>
    <row r="35" spans="2:10" ht="20" x14ac:dyDescent="0.25">
      <c r="B35" s="34" t="s">
        <v>232</v>
      </c>
      <c r="C35" s="382" t="s">
        <v>227</v>
      </c>
      <c r="D35" s="381" t="s">
        <v>228</v>
      </c>
      <c r="E35" s="381" t="s">
        <v>180</v>
      </c>
      <c r="F35" s="381" t="s">
        <v>230</v>
      </c>
      <c r="G35" s="381" t="s">
        <v>165</v>
      </c>
      <c r="H35" s="381" t="s">
        <v>188</v>
      </c>
      <c r="I35" s="381" t="s">
        <v>245</v>
      </c>
      <c r="J35" s="382" t="s">
        <v>239</v>
      </c>
    </row>
    <row r="36" spans="2:10" ht="20" x14ac:dyDescent="0.25">
      <c r="B36" s="368" t="s">
        <v>194</v>
      </c>
      <c r="C36" s="368" t="s">
        <v>226</v>
      </c>
      <c r="D36" s="381" t="s">
        <v>229</v>
      </c>
      <c r="E36" s="381" t="s">
        <v>231</v>
      </c>
      <c r="F36" s="381" t="s">
        <v>231</v>
      </c>
      <c r="G36" s="381" t="s">
        <v>231</v>
      </c>
      <c r="H36" s="381" t="s">
        <v>231</v>
      </c>
      <c r="I36" s="381" t="s">
        <v>236</v>
      </c>
      <c r="J36" s="382" t="s">
        <v>236</v>
      </c>
    </row>
    <row r="37" spans="2:10" ht="20" x14ac:dyDescent="0.25">
      <c r="B37" s="368" t="s">
        <v>198</v>
      </c>
      <c r="C37" s="368" t="s">
        <v>233</v>
      </c>
      <c r="D37" s="381" t="s">
        <v>241</v>
      </c>
      <c r="E37" s="381" t="s">
        <v>231</v>
      </c>
      <c r="F37" s="381" t="s">
        <v>236</v>
      </c>
      <c r="G37" s="381" t="s">
        <v>231</v>
      </c>
      <c r="H37" s="381" t="s">
        <v>236</v>
      </c>
      <c r="I37" s="381" t="s">
        <v>236</v>
      </c>
      <c r="J37" s="382" t="s">
        <v>231</v>
      </c>
    </row>
    <row r="38" spans="2:10" ht="20" x14ac:dyDescent="0.25">
      <c r="B38" s="368" t="s">
        <v>199</v>
      </c>
      <c r="C38" s="368" t="s">
        <v>234</v>
      </c>
      <c r="D38" s="381" t="s">
        <v>235</v>
      </c>
      <c r="E38" s="381" t="s">
        <v>231</v>
      </c>
      <c r="F38" s="381" t="s">
        <v>236</v>
      </c>
      <c r="G38" s="381" t="s">
        <v>231</v>
      </c>
      <c r="H38" s="381" t="s">
        <v>236</v>
      </c>
      <c r="I38" s="381" t="s">
        <v>236</v>
      </c>
      <c r="J38" s="382" t="s">
        <v>231</v>
      </c>
    </row>
    <row r="39" spans="2:10" ht="20" x14ac:dyDescent="0.25">
      <c r="B39" s="368" t="s">
        <v>200</v>
      </c>
      <c r="C39" s="368" t="s">
        <v>237</v>
      </c>
      <c r="D39" s="381" t="s">
        <v>240</v>
      </c>
      <c r="E39" s="381" t="s">
        <v>236</v>
      </c>
      <c r="F39" s="381" t="s">
        <v>231</v>
      </c>
      <c r="G39" s="381" t="s">
        <v>236</v>
      </c>
      <c r="H39" s="381" t="s">
        <v>236</v>
      </c>
      <c r="I39" s="381" t="s">
        <v>236</v>
      </c>
      <c r="J39" s="382" t="s">
        <v>231</v>
      </c>
    </row>
    <row r="40" spans="2:10" ht="20" x14ac:dyDescent="0.25">
      <c r="B40" s="368" t="s">
        <v>201</v>
      </c>
      <c r="C40" s="368" t="s">
        <v>238</v>
      </c>
      <c r="D40" s="381" t="s">
        <v>241</v>
      </c>
      <c r="E40" s="381" t="s">
        <v>231</v>
      </c>
      <c r="F40" s="381" t="s">
        <v>231</v>
      </c>
      <c r="G40" s="381" t="s">
        <v>231</v>
      </c>
      <c r="H40" s="381" t="s">
        <v>236</v>
      </c>
      <c r="I40" s="381" t="s">
        <v>236</v>
      </c>
      <c r="J40" s="382" t="s">
        <v>231</v>
      </c>
    </row>
    <row r="41" spans="2:10" ht="20" x14ac:dyDescent="0.25">
      <c r="B41" s="368" t="s">
        <v>203</v>
      </c>
      <c r="C41" s="368" t="s">
        <v>242</v>
      </c>
      <c r="D41" s="381" t="s">
        <v>235</v>
      </c>
      <c r="E41" s="381" t="s">
        <v>231</v>
      </c>
      <c r="F41" s="381" t="s">
        <v>231</v>
      </c>
      <c r="G41" s="381" t="s">
        <v>231</v>
      </c>
      <c r="H41" s="381" t="s">
        <v>236</v>
      </c>
      <c r="I41" s="381" t="s">
        <v>236</v>
      </c>
      <c r="J41" s="382" t="s">
        <v>231</v>
      </c>
    </row>
    <row r="42" spans="2:10" ht="20" x14ac:dyDescent="0.25">
      <c r="B42" s="368" t="s">
        <v>297</v>
      </c>
      <c r="C42" s="368" t="s">
        <v>243</v>
      </c>
      <c r="D42" s="381" t="s">
        <v>244</v>
      </c>
      <c r="E42" s="381" t="s">
        <v>236</v>
      </c>
      <c r="F42" s="381" t="s">
        <v>236</v>
      </c>
      <c r="G42" s="381" t="s">
        <v>236</v>
      </c>
      <c r="H42" s="381" t="s">
        <v>231</v>
      </c>
      <c r="I42" s="381" t="s">
        <v>231</v>
      </c>
      <c r="J42" s="382" t="s">
        <v>231</v>
      </c>
    </row>
    <row r="43" spans="2:10" ht="20" x14ac:dyDescent="0.25">
      <c r="B43" s="368" t="s">
        <v>298</v>
      </c>
      <c r="C43" s="368" t="s">
        <v>246</v>
      </c>
      <c r="D43" s="381" t="s">
        <v>244</v>
      </c>
      <c r="E43" s="381" t="s">
        <v>236</v>
      </c>
      <c r="F43" s="381" t="s">
        <v>236</v>
      </c>
      <c r="G43" s="381" t="s">
        <v>236</v>
      </c>
      <c r="H43" s="381" t="s">
        <v>231</v>
      </c>
      <c r="I43" s="381" t="s">
        <v>231</v>
      </c>
      <c r="J43" s="382" t="s">
        <v>231</v>
      </c>
    </row>
    <row r="44" spans="2:10" s="34" customFormat="1" ht="20" x14ac:dyDescent="0.25">
      <c r="B44" s="368" t="s">
        <v>208</v>
      </c>
      <c r="C44" s="368" t="s">
        <v>247</v>
      </c>
      <c r="D44" s="381" t="s">
        <v>244</v>
      </c>
      <c r="E44" s="381" t="s">
        <v>231</v>
      </c>
      <c r="F44" s="381" t="s">
        <v>236</v>
      </c>
      <c r="G44" s="381" t="s">
        <v>231</v>
      </c>
      <c r="H44" s="381" t="s">
        <v>236</v>
      </c>
      <c r="I44" s="381" t="s">
        <v>236</v>
      </c>
      <c r="J44" s="382" t="s">
        <v>231</v>
      </c>
    </row>
    <row r="45" spans="2:10" ht="20" x14ac:dyDescent="0.25">
      <c r="B45" s="368" t="s">
        <v>209</v>
      </c>
      <c r="C45" s="368" t="s">
        <v>248</v>
      </c>
      <c r="D45" s="381" t="s">
        <v>244</v>
      </c>
      <c r="E45" s="381" t="s">
        <v>231</v>
      </c>
      <c r="F45" s="381" t="s">
        <v>236</v>
      </c>
      <c r="G45" s="381" t="s">
        <v>231</v>
      </c>
      <c r="H45" s="381" t="s">
        <v>236</v>
      </c>
      <c r="I45" s="381" t="s">
        <v>236</v>
      </c>
      <c r="J45" s="382" t="s">
        <v>231</v>
      </c>
    </row>
    <row r="46" spans="2:10" ht="20" x14ac:dyDescent="0.25">
      <c r="B46" s="368" t="s">
        <v>210</v>
      </c>
      <c r="C46" s="368" t="s">
        <v>250</v>
      </c>
      <c r="D46" s="381" t="s">
        <v>249</v>
      </c>
      <c r="E46" s="381" t="s">
        <v>231</v>
      </c>
      <c r="F46" s="381" t="s">
        <v>236</v>
      </c>
      <c r="G46" s="381" t="s">
        <v>231</v>
      </c>
      <c r="H46" s="381" t="s">
        <v>236</v>
      </c>
      <c r="I46" s="381" t="s">
        <v>236</v>
      </c>
      <c r="J46" s="382" t="s">
        <v>231</v>
      </c>
    </row>
    <row r="47" spans="2:10" ht="20" x14ac:dyDescent="0.25">
      <c r="B47" s="368" t="s">
        <v>211</v>
      </c>
      <c r="C47" s="368" t="s">
        <v>257</v>
      </c>
      <c r="D47" s="381" t="s">
        <v>249</v>
      </c>
      <c r="E47" s="381" t="s">
        <v>231</v>
      </c>
      <c r="F47" s="381" t="s">
        <v>236</v>
      </c>
      <c r="G47" s="381" t="s">
        <v>231</v>
      </c>
      <c r="H47" s="381" t="s">
        <v>236</v>
      </c>
      <c r="I47" s="381" t="s">
        <v>236</v>
      </c>
      <c r="J47" s="382" t="s">
        <v>231</v>
      </c>
    </row>
    <row r="48" spans="2:10" ht="20" x14ac:dyDescent="0.25">
      <c r="B48" s="368" t="s">
        <v>212</v>
      </c>
      <c r="C48" s="368" t="s">
        <v>251</v>
      </c>
      <c r="D48" s="381" t="s">
        <v>235</v>
      </c>
      <c r="E48" s="381" t="s">
        <v>231</v>
      </c>
      <c r="F48" s="381" t="s">
        <v>236</v>
      </c>
      <c r="G48" s="381" t="s">
        <v>231</v>
      </c>
      <c r="H48" s="381" t="s">
        <v>236</v>
      </c>
      <c r="I48" s="381" t="s">
        <v>236</v>
      </c>
      <c r="J48" s="382" t="s">
        <v>231</v>
      </c>
    </row>
    <row r="49" spans="2:10" ht="20" x14ac:dyDescent="0.25">
      <c r="B49" s="368" t="s">
        <v>253</v>
      </c>
      <c r="C49" s="368" t="s">
        <v>254</v>
      </c>
      <c r="D49" s="381" t="s">
        <v>235</v>
      </c>
      <c r="E49" s="381" t="s">
        <v>231</v>
      </c>
      <c r="F49" s="381" t="s">
        <v>236</v>
      </c>
      <c r="G49" s="381" t="s">
        <v>231</v>
      </c>
      <c r="H49" s="381" t="s">
        <v>236</v>
      </c>
      <c r="I49" s="381" t="s">
        <v>236</v>
      </c>
      <c r="J49" s="382" t="s">
        <v>231</v>
      </c>
    </row>
    <row r="50" spans="2:10" ht="20" x14ac:dyDescent="0.25">
      <c r="B50" s="368" t="s">
        <v>222</v>
      </c>
      <c r="C50" s="368" t="s">
        <v>252</v>
      </c>
      <c r="D50" s="381" t="s">
        <v>235</v>
      </c>
      <c r="E50" s="381" t="s">
        <v>231</v>
      </c>
      <c r="F50" s="381" t="s">
        <v>236</v>
      </c>
      <c r="G50" s="381" t="s">
        <v>231</v>
      </c>
      <c r="H50" s="381" t="s">
        <v>236</v>
      </c>
      <c r="I50" s="381" t="s">
        <v>236</v>
      </c>
      <c r="J50" s="382" t="s">
        <v>231</v>
      </c>
    </row>
    <row r="51" spans="2:10" ht="20" x14ac:dyDescent="0.25">
      <c r="B51" s="368" t="s">
        <v>214</v>
      </c>
      <c r="C51" s="368" t="s">
        <v>255</v>
      </c>
      <c r="D51" s="381" t="s">
        <v>249</v>
      </c>
      <c r="E51" s="381" t="s">
        <v>231</v>
      </c>
      <c r="F51" s="381" t="s">
        <v>236</v>
      </c>
      <c r="G51" s="381" t="s">
        <v>231</v>
      </c>
      <c r="H51" s="381" t="s">
        <v>236</v>
      </c>
      <c r="I51" s="381" t="s">
        <v>236</v>
      </c>
      <c r="J51" s="382" t="s">
        <v>231</v>
      </c>
    </row>
    <row r="52" spans="2:10" ht="20" x14ac:dyDescent="0.25">
      <c r="B52" s="368" t="s">
        <v>213</v>
      </c>
      <c r="C52" s="368" t="s">
        <v>256</v>
      </c>
      <c r="D52" s="381" t="s">
        <v>235</v>
      </c>
      <c r="E52" s="381" t="s">
        <v>231</v>
      </c>
      <c r="F52" s="381" t="s">
        <v>236</v>
      </c>
      <c r="G52" s="381" t="s">
        <v>231</v>
      </c>
      <c r="H52" s="381" t="s">
        <v>236</v>
      </c>
      <c r="I52" s="381" t="s">
        <v>236</v>
      </c>
      <c r="J52" s="382" t="s">
        <v>231</v>
      </c>
    </row>
    <row r="55" spans="2:10" ht="21" thickBot="1" x14ac:dyDescent="0.3">
      <c r="B55" s="34" t="s">
        <v>258</v>
      </c>
    </row>
    <row r="56" spans="2:10" ht="57" customHeight="1" thickBot="1" x14ac:dyDescent="0.25">
      <c r="B56" s="575"/>
      <c r="C56" s="576"/>
      <c r="D56" s="394" t="s">
        <v>262</v>
      </c>
      <c r="E56" s="570" t="s">
        <v>263</v>
      </c>
      <c r="F56" s="571"/>
      <c r="G56" s="571"/>
      <c r="H56" s="395" t="s">
        <v>271</v>
      </c>
      <c r="I56" s="394"/>
      <c r="J56" s="396" t="s">
        <v>275</v>
      </c>
    </row>
    <row r="57" spans="2:10" ht="23" x14ac:dyDescent="0.3">
      <c r="B57" s="577" t="s">
        <v>180</v>
      </c>
      <c r="C57" s="578"/>
      <c r="D57" s="391" t="s">
        <v>264</v>
      </c>
      <c r="E57" s="392" t="s">
        <v>269</v>
      </c>
      <c r="F57" s="392"/>
      <c r="G57" s="392"/>
      <c r="H57" s="392" t="s">
        <v>272</v>
      </c>
      <c r="I57" s="392"/>
      <c r="J57" s="393" t="s">
        <v>278</v>
      </c>
    </row>
    <row r="58" spans="2:10" ht="23" x14ac:dyDescent="0.3">
      <c r="B58" s="579" t="s">
        <v>259</v>
      </c>
      <c r="C58" s="580"/>
      <c r="D58" s="385" t="s">
        <v>265</v>
      </c>
      <c r="E58" s="386" t="s">
        <v>270</v>
      </c>
      <c r="F58" s="386"/>
      <c r="G58" s="386"/>
      <c r="H58" s="386" t="s">
        <v>273</v>
      </c>
      <c r="I58" s="386"/>
      <c r="J58" s="387" t="s">
        <v>278</v>
      </c>
    </row>
    <row r="59" spans="2:10" ht="46" customHeight="1" x14ac:dyDescent="0.3">
      <c r="B59" s="579" t="s">
        <v>165</v>
      </c>
      <c r="C59" s="580"/>
      <c r="D59" s="385" t="s">
        <v>266</v>
      </c>
      <c r="E59" s="572" t="s">
        <v>281</v>
      </c>
      <c r="F59" s="573"/>
      <c r="G59" s="574"/>
      <c r="H59" s="386" t="s">
        <v>274</v>
      </c>
      <c r="I59" s="386"/>
      <c r="J59" s="387" t="s">
        <v>278</v>
      </c>
    </row>
    <row r="60" spans="2:10" ht="46" customHeight="1" x14ac:dyDescent="0.3">
      <c r="B60" s="579" t="s">
        <v>260</v>
      </c>
      <c r="C60" s="580"/>
      <c r="D60" s="385" t="s">
        <v>267</v>
      </c>
      <c r="E60" s="572" t="s">
        <v>282</v>
      </c>
      <c r="F60" s="573"/>
      <c r="G60" s="574"/>
      <c r="H60" s="386" t="s">
        <v>276</v>
      </c>
      <c r="I60" s="386"/>
      <c r="J60" s="387" t="s">
        <v>279</v>
      </c>
    </row>
    <row r="61" spans="2:10" ht="23" x14ac:dyDescent="0.3">
      <c r="B61" s="579" t="s">
        <v>188</v>
      </c>
      <c r="C61" s="580"/>
      <c r="D61" s="385" t="s">
        <v>268</v>
      </c>
      <c r="E61" s="572" t="s">
        <v>283</v>
      </c>
      <c r="F61" s="573"/>
      <c r="G61" s="574"/>
      <c r="H61" s="386" t="s">
        <v>277</v>
      </c>
      <c r="I61" s="386"/>
      <c r="J61" s="387" t="s">
        <v>280</v>
      </c>
    </row>
    <row r="62" spans="2:10" ht="24" thickBot="1" x14ac:dyDescent="0.35">
      <c r="B62" s="568" t="s">
        <v>261</v>
      </c>
      <c r="C62" s="569"/>
      <c r="D62" s="388" t="s">
        <v>268</v>
      </c>
      <c r="E62" s="389" t="s">
        <v>299</v>
      </c>
      <c r="F62" s="389"/>
      <c r="G62" s="389"/>
      <c r="H62" s="389" t="s">
        <v>277</v>
      </c>
      <c r="I62" s="389"/>
      <c r="J62" s="390" t="s">
        <v>279</v>
      </c>
    </row>
    <row r="63" spans="2:10" ht="23" x14ac:dyDescent="0.3">
      <c r="B63" s="383"/>
    </row>
    <row r="64" spans="2:10" ht="23" x14ac:dyDescent="0.3">
      <c r="B64" s="383"/>
    </row>
    <row r="65" spans="2:2" ht="23" x14ac:dyDescent="0.3">
      <c r="B65" s="383"/>
    </row>
    <row r="66" spans="2:2" ht="23" x14ac:dyDescent="0.3">
      <c r="B66" s="383"/>
    </row>
    <row r="67" spans="2:2" ht="23" x14ac:dyDescent="0.3">
      <c r="B67" s="383"/>
    </row>
    <row r="68" spans="2:2" ht="23" x14ac:dyDescent="0.3">
      <c r="B68" s="383"/>
    </row>
    <row r="69" spans="2:2" ht="23" x14ac:dyDescent="0.3">
      <c r="B69" s="383"/>
    </row>
    <row r="70" spans="2:2" ht="23" x14ac:dyDescent="0.3">
      <c r="B70" s="383"/>
    </row>
    <row r="71" spans="2:2" ht="23" x14ac:dyDescent="0.3">
      <c r="B71" s="383"/>
    </row>
    <row r="72" spans="2:2" ht="23" x14ac:dyDescent="0.3">
      <c r="B72" s="383"/>
    </row>
    <row r="73" spans="2:2" ht="23" x14ac:dyDescent="0.3">
      <c r="B73" s="383"/>
    </row>
  </sheetData>
  <sheetProtection algorithmName="SHA-512" hashValue="AKRwfJNB2CYK0DTVChEfk1We2aKkKAWkc2dms7Pitlm5gKPA3z9rBrEDSJfxAFHdICP3hF4sA9Ilncqn1gtCzQ==" saltValue="R8XPv2FTpHSWxx7VZB5/lA==" spinCount="100000" sheet="1" objects="1" scenarios="1"/>
  <mergeCells count="11">
    <mergeCell ref="B62:C62"/>
    <mergeCell ref="E56:G56"/>
    <mergeCell ref="E59:G59"/>
    <mergeCell ref="E60:G60"/>
    <mergeCell ref="E61:G61"/>
    <mergeCell ref="B56:C56"/>
    <mergeCell ref="B57:C57"/>
    <mergeCell ref="B58:C58"/>
    <mergeCell ref="B59:C59"/>
    <mergeCell ref="B60:C60"/>
    <mergeCell ref="B61:C61"/>
  </mergeCell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8ED8-A578-0E40-A616-8150DCD86522}">
  <dimension ref="B2:P72"/>
  <sheetViews>
    <sheetView showGridLines="0" zoomScaleNormal="100" workbookViewId="0">
      <selection activeCell="O5" sqref="O5"/>
    </sheetView>
  </sheetViews>
  <sheetFormatPr baseColWidth="10" defaultColWidth="10.83203125" defaultRowHeight="15" x14ac:dyDescent="0.2"/>
  <cols>
    <col min="1" max="1" width="10.83203125" style="1"/>
    <col min="2" max="2" width="12.83203125" style="1" customWidth="1"/>
    <col min="3" max="11" width="10.83203125" style="1"/>
    <col min="12" max="12" width="10.5" style="1" customWidth="1"/>
    <col min="13" max="16384" width="10.83203125" style="1"/>
  </cols>
  <sheetData>
    <row r="2" spans="2:12" ht="36" customHeight="1" x14ac:dyDescent="0.2">
      <c r="B2" s="720" t="s">
        <v>116</v>
      </c>
      <c r="C2" s="721"/>
      <c r="D2" s="721"/>
      <c r="E2" s="721"/>
      <c r="F2" s="721"/>
      <c r="G2" s="721"/>
      <c r="H2" s="721"/>
      <c r="I2" s="721"/>
      <c r="J2" s="721"/>
      <c r="K2" s="721"/>
      <c r="L2" s="721"/>
    </row>
    <row r="3" spans="2:12" ht="17" customHeight="1" x14ac:dyDescent="0.2">
      <c r="B3" s="722" t="s">
        <v>117</v>
      </c>
      <c r="C3" s="722"/>
      <c r="D3" s="722"/>
      <c r="E3" s="722"/>
      <c r="F3" s="722"/>
      <c r="G3" s="722"/>
      <c r="H3" s="722"/>
      <c r="I3" s="722"/>
      <c r="J3" s="722"/>
      <c r="K3" s="722"/>
      <c r="L3" s="722"/>
    </row>
    <row r="4" spans="2:12" s="2" customFormat="1" ht="34" customHeight="1" x14ac:dyDescent="0.3">
      <c r="B4" s="623" t="str">
        <f>+ROUND(C26,0)&amp;""""&amp;" "&amp;F26&amp;" Aspect Ratio"</f>
        <v>150" 2,35 Aspect Ratio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</row>
    <row r="5" spans="2:12" s="2" customFormat="1" ht="34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s="2" customFormat="1" ht="34" customHeight="1" x14ac:dyDescent="0.3">
      <c r="B6" s="59"/>
      <c r="C6" s="59"/>
      <c r="D6" s="59"/>
      <c r="E6" s="59"/>
      <c r="F6" s="504">
        <f>+D26</f>
        <v>3810</v>
      </c>
      <c r="G6" s="59"/>
      <c r="H6" s="59"/>
      <c r="I6" s="59"/>
      <c r="J6" s="59"/>
      <c r="K6" s="59"/>
      <c r="L6" s="59"/>
    </row>
    <row r="7" spans="2:12" ht="13" customHeight="1" x14ac:dyDescent="0.2"/>
    <row r="8" spans="2:12" ht="13" customHeight="1" x14ac:dyDescent="0.2">
      <c r="C8" s="197"/>
      <c r="D8" s="197"/>
      <c r="I8" s="198"/>
      <c r="J8" s="198"/>
    </row>
    <row r="9" spans="2:12" ht="13" customHeight="1" x14ac:dyDescent="0.2">
      <c r="C9" s="197"/>
      <c r="D9" s="197"/>
      <c r="I9" s="198"/>
      <c r="J9" s="198"/>
    </row>
    <row r="10" spans="2:12" ht="18" customHeight="1" x14ac:dyDescent="0.2">
      <c r="C10" s="197"/>
      <c r="D10" s="197"/>
      <c r="G10" s="33"/>
      <c r="I10" s="198"/>
      <c r="J10" s="198"/>
    </row>
    <row r="11" spans="2:12" ht="18" customHeight="1" x14ac:dyDescent="0.2">
      <c r="C11" s="197"/>
      <c r="D11" s="197"/>
      <c r="I11" s="198"/>
      <c r="J11" s="198"/>
    </row>
    <row r="12" spans="2:12" ht="18" customHeight="1" x14ac:dyDescent="0.2">
      <c r="C12" s="197"/>
      <c r="D12" s="197"/>
      <c r="F12" s="40"/>
      <c r="I12" s="198"/>
      <c r="J12" s="198"/>
    </row>
    <row r="13" spans="2:12" ht="18" customHeight="1" x14ac:dyDescent="0.2">
      <c r="C13" s="197"/>
      <c r="D13" s="197"/>
      <c r="F13" s="33"/>
      <c r="I13" s="198"/>
      <c r="J13" s="198"/>
    </row>
    <row r="14" spans="2:12" ht="18" customHeight="1" x14ac:dyDescent="0.2">
      <c r="B14" s="32">
        <f>D27</f>
        <v>1621.2765957446809</v>
      </c>
      <c r="C14" s="197"/>
      <c r="D14" s="197"/>
      <c r="I14" s="198"/>
      <c r="J14" s="198"/>
      <c r="K14" s="5">
        <f>+D29</f>
        <v>1809.2765957446809</v>
      </c>
    </row>
    <row r="15" spans="2:12" ht="32" x14ac:dyDescent="0.2">
      <c r="C15" s="197"/>
      <c r="D15" s="197"/>
      <c r="G15" s="411">
        <f>+D30</f>
        <v>4140.6083852387519</v>
      </c>
      <c r="I15" s="198"/>
      <c r="J15" s="198"/>
      <c r="K15" s="114"/>
    </row>
    <row r="16" spans="2:12" ht="18" customHeight="1" x14ac:dyDescent="0.2">
      <c r="G16" s="33"/>
    </row>
    <row r="17" spans="2:12" ht="32" customHeight="1" x14ac:dyDescent="0.2">
      <c r="E17" s="489">
        <f>D30</f>
        <v>4140.6083852387519</v>
      </c>
    </row>
    <row r="18" spans="2:12" ht="18" customHeight="1" x14ac:dyDescent="0.2"/>
    <row r="19" spans="2:12" ht="18" customHeight="1" x14ac:dyDescent="0.2">
      <c r="G19" s="40">
        <f>+F28</f>
        <v>2156.2978723404258</v>
      </c>
    </row>
    <row r="20" spans="2:12" ht="18" customHeight="1" x14ac:dyDescent="0.2"/>
    <row r="21" spans="2:12" ht="18" customHeight="1" x14ac:dyDescent="0.2"/>
    <row r="22" spans="2:12" ht="18" customHeight="1" x14ac:dyDescent="0.2">
      <c r="F22" s="30">
        <f>+D28</f>
        <v>4038</v>
      </c>
      <c r="L22" s="488">
        <f>+D31</f>
        <v>145</v>
      </c>
    </row>
    <row r="23" spans="2:12" ht="18" customHeight="1" x14ac:dyDescent="0.2">
      <c r="F23" s="90"/>
      <c r="L23" s="90"/>
    </row>
    <row r="24" spans="2:12" ht="18" customHeight="1" thickBot="1" x14ac:dyDescent="0.25"/>
    <row r="25" spans="2:12" ht="18" customHeight="1" x14ac:dyDescent="0.2">
      <c r="B25" s="6"/>
      <c r="C25" s="7" t="s">
        <v>3</v>
      </c>
      <c r="D25" s="156" t="s">
        <v>4</v>
      </c>
      <c r="E25" s="9" t="s">
        <v>5</v>
      </c>
      <c r="F25" s="583" t="s">
        <v>28</v>
      </c>
      <c r="G25" s="584"/>
      <c r="H25" s="9" t="s">
        <v>6</v>
      </c>
      <c r="I25" s="585">
        <f ca="1">NOW()</f>
        <v>46062.500802662034</v>
      </c>
      <c r="J25" s="585"/>
      <c r="K25" s="585"/>
      <c r="L25" s="586"/>
    </row>
    <row r="26" spans="2:12" s="109" customFormat="1" ht="40" customHeight="1" x14ac:dyDescent="0.2">
      <c r="B26" s="150" t="s">
        <v>7</v>
      </c>
      <c r="C26" s="106">
        <f t="shared" ref="C26:C31" si="0">+D26/$F$31</f>
        <v>150</v>
      </c>
      <c r="D26" s="269">
        <v>3810</v>
      </c>
      <c r="E26" s="152" t="s">
        <v>8</v>
      </c>
      <c r="F26" s="587">
        <v>2.35</v>
      </c>
      <c r="G26" s="588"/>
      <c r="H26" s="153" t="s">
        <v>9</v>
      </c>
      <c r="I26" s="626"/>
      <c r="J26" s="626"/>
      <c r="K26" s="626"/>
      <c r="L26" s="627"/>
    </row>
    <row r="27" spans="2:12" ht="40" customHeight="1" x14ac:dyDescent="0.2">
      <c r="B27" s="10" t="s">
        <v>10</v>
      </c>
      <c r="C27" s="22">
        <f t="shared" si="0"/>
        <v>63.829787234042556</v>
      </c>
      <c r="D27" s="13">
        <f>+D26/F26</f>
        <v>1621.2765957446809</v>
      </c>
      <c r="E27" s="12" t="s">
        <v>11</v>
      </c>
      <c r="F27" s="718">
        <v>1.33</v>
      </c>
      <c r="G27" s="719"/>
      <c r="H27" s="12" t="s">
        <v>13</v>
      </c>
      <c r="I27" s="619"/>
      <c r="J27" s="620"/>
      <c r="K27" s="620"/>
      <c r="L27" s="621"/>
    </row>
    <row r="28" spans="2:12" ht="18" customHeight="1" x14ac:dyDescent="0.2">
      <c r="B28" s="10" t="s">
        <v>14</v>
      </c>
      <c r="C28" s="22">
        <f t="shared" si="0"/>
        <v>158.97637795275591</v>
      </c>
      <c r="D28" s="14">
        <f>IF(F30=200,(2*F30)+D26,D26+(2*F30)+40)</f>
        <v>4038</v>
      </c>
      <c r="E28" s="12" t="s">
        <v>112</v>
      </c>
      <c r="F28" s="24">
        <f>+D27*F27</f>
        <v>2156.2978723404258</v>
      </c>
      <c r="G28" s="611" t="s">
        <v>139</v>
      </c>
      <c r="H28" s="612"/>
      <c r="I28" s="612"/>
      <c r="J28" s="612"/>
      <c r="K28" s="612"/>
      <c r="L28" s="613"/>
    </row>
    <row r="29" spans="2:12" ht="40" customHeight="1" x14ac:dyDescent="0.2">
      <c r="B29" s="10" t="s">
        <v>18</v>
      </c>
      <c r="C29" s="22">
        <f t="shared" si="0"/>
        <v>71.23136203719217</v>
      </c>
      <c r="D29" s="490">
        <f>+D27+(2*F30)</f>
        <v>1809.2765957446809</v>
      </c>
      <c r="E29" s="12" t="s">
        <v>19</v>
      </c>
      <c r="F29" s="460" t="s">
        <v>143</v>
      </c>
      <c r="G29" s="614"/>
      <c r="H29" s="615"/>
      <c r="I29" s="615"/>
      <c r="J29" s="615"/>
      <c r="K29" s="615"/>
      <c r="L29" s="616"/>
    </row>
    <row r="30" spans="2:12" ht="18" customHeight="1" x14ac:dyDescent="0.2">
      <c r="B30" s="10" t="s">
        <v>21</v>
      </c>
      <c r="C30" s="22">
        <f t="shared" si="0"/>
        <v>163.01607815900599</v>
      </c>
      <c r="D30" s="14">
        <f>SQRT((D26^2)+(D27^2))</f>
        <v>4140.6083852387519</v>
      </c>
      <c r="E30" s="12" t="s">
        <v>22</v>
      </c>
      <c r="F30" s="23">
        <f>IF(D26&gt;5079,200,94)</f>
        <v>94</v>
      </c>
      <c r="G30" s="614"/>
      <c r="H30" s="615"/>
      <c r="I30" s="615"/>
      <c r="J30" s="615"/>
      <c r="K30" s="615"/>
      <c r="L30" s="616"/>
    </row>
    <row r="31" spans="2:12" ht="18" customHeight="1" thickBot="1" x14ac:dyDescent="0.25">
      <c r="B31" s="17" t="s">
        <v>23</v>
      </c>
      <c r="C31" s="25">
        <f t="shared" si="0"/>
        <v>5.7086614173228352</v>
      </c>
      <c r="D31" s="29">
        <f>IF(C26&gt;200, 225, 145)</f>
        <v>145</v>
      </c>
      <c r="E31" s="18" t="s">
        <v>24</v>
      </c>
      <c r="F31" s="27">
        <v>25.4</v>
      </c>
      <c r="G31" s="19"/>
      <c r="H31" s="19"/>
      <c r="I31" s="19"/>
      <c r="J31" s="19"/>
      <c r="K31" s="19"/>
      <c r="L31" s="94" t="s">
        <v>67</v>
      </c>
    </row>
    <row r="32" spans="2:12" ht="18" customHeight="1" thickBot="1" x14ac:dyDescent="0.25">
      <c r="B32" s="86"/>
      <c r="C32" s="471"/>
      <c r="D32" s="491"/>
      <c r="E32" s="86"/>
      <c r="F32" s="421"/>
      <c r="L32" s="492"/>
    </row>
    <row r="33" spans="2:16" ht="18" customHeight="1" thickBot="1" x14ac:dyDescent="0.25">
      <c r="B33" s="328"/>
      <c r="C33" s="473"/>
      <c r="D33" s="507"/>
      <c r="E33" s="331"/>
      <c r="F33" s="508"/>
      <c r="G33" s="207"/>
      <c r="H33" s="207"/>
      <c r="I33" s="207"/>
      <c r="J33" s="207"/>
      <c r="K33" s="207"/>
      <c r="L33" s="509"/>
    </row>
    <row r="34" spans="2:16" ht="18" customHeight="1" thickBot="1" x14ac:dyDescent="0.25">
      <c r="B34" s="608" t="s">
        <v>169</v>
      </c>
      <c r="F34" s="421"/>
      <c r="L34" s="510"/>
    </row>
    <row r="35" spans="2:16" ht="18" customHeight="1" thickBot="1" x14ac:dyDescent="0.25">
      <c r="B35" s="609"/>
      <c r="C35" s="1" t="s">
        <v>177</v>
      </c>
      <c r="D35" s="83"/>
      <c r="E35" s="342" t="s">
        <v>231</v>
      </c>
      <c r="F35" s="421"/>
      <c r="L35" s="510"/>
    </row>
    <row r="36" spans="2:16" ht="18" customHeight="1" thickBot="1" x14ac:dyDescent="0.25">
      <c r="B36" s="610"/>
      <c r="C36" s="1" t="s">
        <v>178</v>
      </c>
      <c r="D36" s="83"/>
      <c r="E36" s="342"/>
      <c r="L36" s="15"/>
    </row>
    <row r="37" spans="2:16" ht="18" customHeight="1" x14ac:dyDescent="0.2">
      <c r="B37" s="467"/>
      <c r="D37" s="83"/>
      <c r="E37" s="422"/>
      <c r="L37" s="15"/>
    </row>
    <row r="38" spans="2:16" ht="18" customHeight="1" x14ac:dyDescent="0.2">
      <c r="B38" s="209"/>
      <c r="C38" s="50" t="s">
        <v>101</v>
      </c>
      <c r="D38" s="50"/>
      <c r="E38" s="50"/>
      <c r="F38" s="50"/>
      <c r="G38" s="50"/>
      <c r="H38" s="91" t="s">
        <v>118</v>
      </c>
      <c r="I38" s="92" t="s">
        <v>119</v>
      </c>
      <c r="J38" s="50"/>
      <c r="K38" s="50"/>
      <c r="L38" s="468"/>
    </row>
    <row r="39" spans="2:16" ht="18" customHeight="1" x14ac:dyDescent="0.2">
      <c r="B39" s="225"/>
      <c r="C39" s="51"/>
      <c r="D39" s="51"/>
      <c r="E39" s="51"/>
      <c r="F39" s="51"/>
      <c r="G39" s="51"/>
      <c r="H39" s="511"/>
      <c r="I39" s="202"/>
      <c r="J39" s="51"/>
      <c r="K39" s="51"/>
      <c r="L39" s="469"/>
    </row>
    <row r="40" spans="2:16" ht="18" customHeight="1" thickBot="1" x14ac:dyDescent="0.25">
      <c r="B40" s="209"/>
      <c r="C40" s="56" t="s">
        <v>102</v>
      </c>
      <c r="D40" s="56" t="s">
        <v>103</v>
      </c>
      <c r="E40" s="56" t="s">
        <v>104</v>
      </c>
      <c r="F40" s="56" t="s">
        <v>105</v>
      </c>
      <c r="G40" s="56" t="s">
        <v>106</v>
      </c>
      <c r="L40" s="15"/>
    </row>
    <row r="41" spans="2:16" ht="18" customHeight="1" thickBot="1" x14ac:dyDescent="0.25">
      <c r="B41" s="209"/>
      <c r="C41" s="512">
        <f>F26</f>
        <v>2.35</v>
      </c>
      <c r="D41" s="513">
        <f t="shared" ref="D41:D45" si="1">+$D$27</f>
        <v>1621.2765957446809</v>
      </c>
      <c r="E41" s="32">
        <f t="shared" ref="E41:E45" si="2">+D41*C41</f>
        <v>3810.0000000000005</v>
      </c>
      <c r="F41" s="32">
        <f>D26-E41</f>
        <v>0</v>
      </c>
      <c r="G41" s="514">
        <f>+E41/D26</f>
        <v>1.0000000000000002</v>
      </c>
      <c r="L41" s="15"/>
      <c r="P41" s="423"/>
    </row>
    <row r="42" spans="2:16" ht="18" customHeight="1" x14ac:dyDescent="0.2">
      <c r="B42" s="515"/>
      <c r="C42" s="512">
        <v>2.35</v>
      </c>
      <c r="D42" s="513">
        <f t="shared" si="1"/>
        <v>1621.2765957446809</v>
      </c>
      <c r="E42" s="32">
        <f t="shared" si="2"/>
        <v>3810.0000000000005</v>
      </c>
      <c r="F42" s="32">
        <f>D26-E42</f>
        <v>0</v>
      </c>
      <c r="G42" s="514">
        <f>+E42/D26</f>
        <v>1.0000000000000002</v>
      </c>
      <c r="L42" s="15"/>
    </row>
    <row r="43" spans="2:16" ht="18" customHeight="1" x14ac:dyDescent="0.2">
      <c r="B43" s="209"/>
      <c r="C43" s="512">
        <v>1.85</v>
      </c>
      <c r="D43" s="513">
        <f t="shared" si="1"/>
        <v>1621.2765957446809</v>
      </c>
      <c r="E43" s="32">
        <f t="shared" si="2"/>
        <v>2999.36170212766</v>
      </c>
      <c r="F43" s="32">
        <f>D26-E43</f>
        <v>810.63829787233999</v>
      </c>
      <c r="G43" s="514">
        <f>+E43/D26</f>
        <v>0.78723404255319163</v>
      </c>
      <c r="L43" s="15"/>
    </row>
    <row r="44" spans="2:16" ht="18" customHeight="1" x14ac:dyDescent="0.2">
      <c r="B44" s="209"/>
      <c r="C44" s="512">
        <v>1.78</v>
      </c>
      <c r="D44" s="513">
        <f t="shared" si="1"/>
        <v>1621.2765957446809</v>
      </c>
      <c r="E44" s="32">
        <f t="shared" si="2"/>
        <v>2885.872340425532</v>
      </c>
      <c r="F44" s="32">
        <f>D26-E44</f>
        <v>924.127659574468</v>
      </c>
      <c r="G44" s="514">
        <f>+E44/D26</f>
        <v>0.75744680851063828</v>
      </c>
      <c r="L44" s="15"/>
    </row>
    <row r="45" spans="2:16" ht="18" customHeight="1" x14ac:dyDescent="0.2">
      <c r="B45" s="209"/>
      <c r="C45" s="512">
        <v>1.33</v>
      </c>
      <c r="D45" s="513">
        <f t="shared" si="1"/>
        <v>1621.2765957446809</v>
      </c>
      <c r="E45" s="32">
        <f t="shared" si="2"/>
        <v>2156.2978723404258</v>
      </c>
      <c r="F45" s="32">
        <f>D26-E45</f>
        <v>1653.7021276595742</v>
      </c>
      <c r="G45" s="514">
        <f>+E45/D26</f>
        <v>0.56595744680851068</v>
      </c>
      <c r="H45" s="516" t="s">
        <v>110</v>
      </c>
      <c r="L45" s="15"/>
    </row>
    <row r="46" spans="2:16" ht="18" customHeight="1" x14ac:dyDescent="0.2">
      <c r="B46" s="209"/>
      <c r="C46" s="365"/>
      <c r="D46" s="517"/>
      <c r="E46" s="517"/>
      <c r="F46" s="31"/>
      <c r="G46" s="31"/>
      <c r="H46" s="518"/>
      <c r="L46" s="15"/>
    </row>
    <row r="47" spans="2:16" ht="18" customHeight="1" x14ac:dyDescent="0.2">
      <c r="B47" s="209"/>
      <c r="C47" s="50" t="s">
        <v>48</v>
      </c>
      <c r="D47" s="55"/>
      <c r="E47" s="55"/>
      <c r="F47" s="55"/>
      <c r="G47" s="55"/>
      <c r="H47" s="55"/>
      <c r="I47" s="55"/>
      <c r="J47" s="55"/>
      <c r="K47" s="55"/>
      <c r="L47" s="215"/>
    </row>
    <row r="48" spans="2:16" ht="18" customHeight="1" x14ac:dyDescent="0.2">
      <c r="B48" s="225"/>
      <c r="C48" s="54"/>
      <c r="L48" s="15"/>
    </row>
    <row r="49" spans="2:12" ht="18" customHeight="1" x14ac:dyDescent="0.2">
      <c r="B49" s="209"/>
      <c r="C49" s="430" t="s">
        <v>26</v>
      </c>
      <c r="D49" s="143"/>
      <c r="E49" s="699" t="s">
        <v>27</v>
      </c>
      <c r="F49" s="699"/>
      <c r="G49" s="461" t="s">
        <v>3</v>
      </c>
      <c r="H49" s="461" t="s">
        <v>4</v>
      </c>
      <c r="L49" s="15"/>
    </row>
    <row r="50" spans="2:12" ht="18" customHeight="1" x14ac:dyDescent="0.2">
      <c r="B50" s="209"/>
      <c r="C50" s="143" t="s">
        <v>28</v>
      </c>
      <c r="D50" s="143"/>
      <c r="E50" s="495" t="s">
        <v>31</v>
      </c>
      <c r="F50" s="496" t="s">
        <v>113</v>
      </c>
      <c r="G50" s="144">
        <v>150</v>
      </c>
      <c r="H50" s="144">
        <f>G50*25.4</f>
        <v>3810</v>
      </c>
      <c r="L50" s="15"/>
    </row>
    <row r="51" spans="2:12" ht="18" customHeight="1" x14ac:dyDescent="0.2">
      <c r="B51" s="209"/>
      <c r="C51" s="143" t="s">
        <v>165</v>
      </c>
      <c r="D51" s="143"/>
      <c r="E51" s="495" t="s">
        <v>31</v>
      </c>
      <c r="F51" s="496" t="s">
        <v>113</v>
      </c>
      <c r="G51" s="144">
        <v>150</v>
      </c>
      <c r="H51" s="144">
        <f>G51*25.4</f>
        <v>3810</v>
      </c>
      <c r="L51" s="15"/>
    </row>
    <row r="52" spans="2:12" ht="18" customHeight="1" x14ac:dyDescent="0.2">
      <c r="B52" s="209"/>
      <c r="C52" s="143"/>
      <c r="D52" s="143"/>
      <c r="E52" s="143"/>
      <c r="F52" s="505"/>
      <c r="G52" s="143"/>
      <c r="H52" s="143"/>
      <c r="L52" s="15"/>
    </row>
    <row r="53" spans="2:12" ht="18" customHeight="1" x14ac:dyDescent="0.2">
      <c r="B53" s="209"/>
      <c r="F53" s="517"/>
      <c r="L53" s="15"/>
    </row>
    <row r="54" spans="2:12" ht="18" customHeight="1" x14ac:dyDescent="0.2">
      <c r="B54" s="209"/>
      <c r="F54" s="517"/>
      <c r="L54" s="15"/>
    </row>
    <row r="55" spans="2:12" ht="18" customHeight="1" x14ac:dyDescent="0.2">
      <c r="B55" s="209"/>
      <c r="F55" s="517"/>
      <c r="L55" s="15"/>
    </row>
    <row r="56" spans="2:12" ht="18" customHeight="1" x14ac:dyDescent="0.25">
      <c r="B56" s="209"/>
      <c r="C56" s="93" t="s">
        <v>120</v>
      </c>
      <c r="D56" s="55"/>
      <c r="E56" s="55"/>
      <c r="F56" s="55"/>
      <c r="G56" s="55"/>
      <c r="H56" s="55"/>
      <c r="I56" s="55"/>
      <c r="J56" s="55"/>
      <c r="K56" s="55"/>
      <c r="L56" s="215"/>
    </row>
    <row r="57" spans="2:12" ht="18" customHeight="1" x14ac:dyDescent="0.2">
      <c r="B57" s="225"/>
      <c r="C57" s="1" t="s">
        <v>121</v>
      </c>
      <c r="L57" s="15"/>
    </row>
    <row r="58" spans="2:12" ht="18" customHeight="1" x14ac:dyDescent="0.2">
      <c r="B58" s="209"/>
      <c r="F58" s="3"/>
      <c r="L58" s="519"/>
    </row>
    <row r="59" spans="2:12" ht="18" customHeight="1" x14ac:dyDescent="0.2">
      <c r="B59" s="209"/>
      <c r="C59" s="50" t="s">
        <v>33</v>
      </c>
      <c r="D59" s="55"/>
      <c r="E59" s="55"/>
      <c r="F59" s="55"/>
      <c r="G59" s="55"/>
      <c r="H59" s="55"/>
      <c r="I59" s="55"/>
      <c r="J59" s="55"/>
      <c r="K59" s="55"/>
      <c r="L59" s="215"/>
    </row>
    <row r="60" spans="2:12" ht="18" customHeight="1" x14ac:dyDescent="0.2">
      <c r="B60" s="225"/>
      <c r="C60" s="1" t="s">
        <v>122</v>
      </c>
      <c r="L60" s="15"/>
    </row>
    <row r="61" spans="2:12" ht="18" customHeight="1" x14ac:dyDescent="0.2">
      <c r="B61" s="209"/>
      <c r="L61" s="15"/>
    </row>
    <row r="62" spans="2:12" ht="18" customHeight="1" x14ac:dyDescent="0.2">
      <c r="B62" s="209"/>
      <c r="C62" s="50" t="s">
        <v>36</v>
      </c>
      <c r="D62" s="55"/>
      <c r="E62" s="55"/>
      <c r="F62" s="55"/>
      <c r="G62" s="55"/>
      <c r="H62" s="55"/>
      <c r="I62" s="55"/>
      <c r="J62" s="55"/>
      <c r="K62" s="55"/>
      <c r="L62" s="215"/>
    </row>
    <row r="63" spans="2:12" ht="18" customHeight="1" x14ac:dyDescent="0.2">
      <c r="B63" s="225"/>
      <c r="C63" s="1" t="s">
        <v>37</v>
      </c>
      <c r="L63" s="15"/>
    </row>
    <row r="64" spans="2:12" ht="18" customHeight="1" x14ac:dyDescent="0.2">
      <c r="B64" s="209"/>
      <c r="C64" s="1" t="s">
        <v>115</v>
      </c>
      <c r="L64" s="15"/>
    </row>
    <row r="65" spans="2:12" ht="18" customHeight="1" x14ac:dyDescent="0.2">
      <c r="B65" s="209"/>
      <c r="L65" s="15"/>
    </row>
    <row r="66" spans="2:12" ht="18" customHeight="1" x14ac:dyDescent="0.2">
      <c r="B66" s="209"/>
      <c r="C66" s="12" t="s">
        <v>108</v>
      </c>
      <c r="D66" s="12">
        <v>1</v>
      </c>
      <c r="E66" s="219"/>
      <c r="F66" s="219"/>
      <c r="G66" s="51"/>
      <c r="H66" s="51"/>
      <c r="I66" s="87"/>
      <c r="L66" s="15"/>
    </row>
    <row r="67" spans="2:12" ht="18" customHeight="1" x14ac:dyDescent="0.2">
      <c r="B67" s="209"/>
      <c r="C67" s="220" t="s">
        <v>39</v>
      </c>
      <c r="D67" s="506">
        <f>+D28+110</f>
        <v>4148</v>
      </c>
      <c r="E67" s="143" t="s">
        <v>4</v>
      </c>
      <c r="F67" s="143" t="s">
        <v>40</v>
      </c>
      <c r="G67" s="83"/>
      <c r="H67" s="520"/>
      <c r="L67" s="15"/>
    </row>
    <row r="68" spans="2:12" ht="18" customHeight="1" x14ac:dyDescent="0.2">
      <c r="B68" s="209"/>
      <c r="C68" s="220" t="s">
        <v>41</v>
      </c>
      <c r="D68" s="222">
        <f>D29+110</f>
        <v>1919.2765957446809</v>
      </c>
      <c r="E68" s="143" t="s">
        <v>4</v>
      </c>
      <c r="F68" s="143" t="s">
        <v>40</v>
      </c>
      <c r="G68" s="83"/>
      <c r="H68" s="31"/>
      <c r="L68" s="15"/>
    </row>
    <row r="69" spans="2:12" ht="18" customHeight="1" x14ac:dyDescent="0.2">
      <c r="B69" s="209"/>
      <c r="C69" s="220" t="s">
        <v>42</v>
      </c>
      <c r="D69" s="505">
        <v>350</v>
      </c>
      <c r="E69" s="143" t="s">
        <v>4</v>
      </c>
      <c r="F69" s="143" t="s">
        <v>40</v>
      </c>
      <c r="G69" s="83"/>
      <c r="H69" s="517"/>
      <c r="L69" s="15"/>
    </row>
    <row r="70" spans="2:12" ht="18" customHeight="1" x14ac:dyDescent="0.2">
      <c r="B70" s="209"/>
      <c r="C70" s="220" t="s">
        <v>43</v>
      </c>
      <c r="D70" s="224">
        <f>IF(C26&lt;140,C26*1,C26*1.15)</f>
        <v>172.5</v>
      </c>
      <c r="E70" s="143" t="s">
        <v>44</v>
      </c>
      <c r="F70" s="143" t="s">
        <v>45</v>
      </c>
      <c r="G70" s="83"/>
      <c r="H70" s="37"/>
      <c r="L70" s="15"/>
    </row>
    <row r="71" spans="2:12" ht="18" customHeight="1" thickBot="1" x14ac:dyDescent="0.25">
      <c r="B71" s="217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ht="18" customHeight="1" x14ac:dyDescent="0.2"/>
  </sheetData>
  <sheetProtection algorithmName="SHA-512" hashValue="5oD4+zCdXNpb0SMd15Ss7xFrShBFKWesK8cn68Wq+TeyXzOJdfAheCTv2Zqz6+Mii9boBZjuLsrNPGal3cYEgw==" saltValue="UllKlnVmku3NoYckW0P+nw==" spinCount="100000" sheet="1" objects="1" scenarios="1"/>
  <mergeCells count="12">
    <mergeCell ref="F27:G27"/>
    <mergeCell ref="I27:L27"/>
    <mergeCell ref="E49:F49"/>
    <mergeCell ref="B2:L2"/>
    <mergeCell ref="B4:L4"/>
    <mergeCell ref="F25:G25"/>
    <mergeCell ref="I25:L25"/>
    <mergeCell ref="F26:G26"/>
    <mergeCell ref="I26:L26"/>
    <mergeCell ref="B3:L3"/>
    <mergeCell ref="G28:L30"/>
    <mergeCell ref="B34:B36"/>
  </mergeCells>
  <pageMargins left="0.75000000000000011" right="0.75000000000000011" top="1" bottom="1" header="0.5" footer="0.5"/>
  <pageSetup paperSize="9" scale="63" fitToHeight="2" orientation="portrait" r:id="rId1"/>
  <headerFooter>
    <oddHeader>&amp;CScreen Excellence Ltd</oddHeader>
    <oddFooter>&amp;CScreen Excellence Ltd</oddFooter>
  </headerFooter>
  <rowBreaks count="1" manualBreakCount="1">
    <brk id="51" min="1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67"/>
  <sheetViews>
    <sheetView showGridLines="0" topLeftCell="A5" zoomScale="114" workbookViewId="0">
      <selection activeCell="M16" sqref="M16"/>
    </sheetView>
  </sheetViews>
  <sheetFormatPr baseColWidth="10" defaultColWidth="10.83203125" defaultRowHeight="15" x14ac:dyDescent="0.2"/>
  <cols>
    <col min="1" max="1" width="10.83203125" style="109"/>
    <col min="2" max="2" width="10" style="109" customWidth="1"/>
    <col min="3" max="9" width="10.83203125" style="109"/>
    <col min="10" max="10" width="11.1640625" style="109" customWidth="1"/>
    <col min="11" max="16384" width="10.83203125" style="109"/>
  </cols>
  <sheetData>
    <row r="2" spans="2:12" ht="40" customHeight="1" x14ac:dyDescent="0.2">
      <c r="B2" s="622" t="s">
        <v>123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ht="40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2" s="145" customFormat="1" ht="40" customHeight="1" x14ac:dyDescent="0.3">
      <c r="B4" s="623" t="str">
        <f>+ROUND(C26,0)&amp;""""&amp;" "&amp;F26&amp;" Aspect Ratio"</f>
        <v>228" 2,4 Aspect Ratio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</row>
    <row r="5" spans="2:12" s="145" customFormat="1" ht="40" customHeight="1" x14ac:dyDescent="0.3">
      <c r="B5" s="59"/>
      <c r="C5" s="59"/>
      <c r="D5" s="59"/>
      <c r="E5" s="59"/>
      <c r="F5" s="488">
        <f>+D26</f>
        <v>5800</v>
      </c>
      <c r="G5" s="59"/>
      <c r="H5" s="59"/>
      <c r="I5" s="59"/>
      <c r="J5" s="59"/>
      <c r="K5" s="59"/>
      <c r="L5" s="59"/>
    </row>
    <row r="6" spans="2:12" ht="13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">
      <c r="B11" s="1"/>
      <c r="C11" s="1"/>
      <c r="E11" s="1"/>
      <c r="F11" s="1"/>
      <c r="G11" s="1"/>
      <c r="H11" s="1"/>
      <c r="I11" s="1"/>
      <c r="J11" s="1"/>
      <c r="K11" s="1"/>
      <c r="L11" s="1"/>
    </row>
    <row r="12" spans="2:12" ht="31" x14ac:dyDescent="0.2">
      <c r="B12" s="1"/>
      <c r="C12" s="1"/>
      <c r="D12" s="3"/>
      <c r="E12" s="1"/>
      <c r="F12" s="1"/>
      <c r="G12" s="1"/>
      <c r="H12" s="563">
        <f>+D30</f>
        <v>6283.333333333333</v>
      </c>
      <c r="I12" s="1"/>
      <c r="J12" s="1"/>
      <c r="K12" s="1"/>
      <c r="L12" s="1"/>
    </row>
    <row r="13" spans="2:12" x14ac:dyDescent="0.2">
      <c r="B13" s="42">
        <f>D27</f>
        <v>2416.666666666667</v>
      </c>
      <c r="C13" s="1"/>
      <c r="D13" s="1"/>
      <c r="E13" s="1"/>
      <c r="F13" s="1"/>
      <c r="G13" s="1"/>
      <c r="H13" s="90"/>
      <c r="I13" s="1"/>
      <c r="J13" s="1"/>
      <c r="K13" s="5">
        <f>+D29</f>
        <v>2816.666666666667</v>
      </c>
      <c r="L13" s="1"/>
    </row>
    <row r="14" spans="2:12" x14ac:dyDescent="0.2">
      <c r="B14" s="1"/>
      <c r="C14" s="1"/>
      <c r="D14" s="1"/>
      <c r="E14" s="60"/>
      <c r="F14" s="1"/>
      <c r="G14" s="1"/>
      <c r="H14" s="1"/>
      <c r="I14" s="1"/>
      <c r="J14" s="1"/>
      <c r="K14" s="3"/>
      <c r="L14" s="1"/>
    </row>
    <row r="15" spans="2:12" x14ac:dyDescent="0.2">
      <c r="B15" s="1"/>
      <c r="C15" s="1"/>
      <c r="D15" s="1"/>
      <c r="E15" s="90"/>
      <c r="F15" s="1"/>
      <c r="G15" s="1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3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60">
        <f>+D31</f>
        <v>225</v>
      </c>
    </row>
    <row r="22" spans="2:12" x14ac:dyDescent="0.2">
      <c r="B22" s="1"/>
      <c r="C22" s="1"/>
      <c r="D22" s="1"/>
      <c r="E22" s="1"/>
      <c r="F22" s="30">
        <f>+D28</f>
        <v>6240</v>
      </c>
      <c r="G22" s="1"/>
      <c r="H22" s="1"/>
      <c r="I22" s="1"/>
      <c r="J22" s="1"/>
      <c r="K22" s="1"/>
      <c r="L22" s="199"/>
    </row>
    <row r="23" spans="2:12" x14ac:dyDescent="0.2">
      <c r="B23" s="1"/>
      <c r="C23" s="1"/>
      <c r="D23" s="1"/>
      <c r="E23" s="1"/>
      <c r="F23" s="114"/>
      <c r="G23" s="1"/>
      <c r="H23" s="1"/>
      <c r="I23" s="1"/>
      <c r="J23" s="1"/>
      <c r="K23" s="1"/>
      <c r="L23" s="1"/>
    </row>
    <row r="24" spans="2:12" ht="16" thickBot="1" x14ac:dyDescent="0.25">
      <c r="B24" s="1"/>
      <c r="C24" s="1"/>
      <c r="D24" s="1"/>
      <c r="E24" s="1"/>
      <c r="F24" s="114"/>
      <c r="G24" s="1"/>
      <c r="H24" s="1"/>
      <c r="I24" s="1"/>
      <c r="J24" s="1"/>
      <c r="K24" s="1"/>
      <c r="L24" s="1"/>
    </row>
    <row r="25" spans="2:12" x14ac:dyDescent="0.2">
      <c r="B25" s="6"/>
      <c r="C25" s="7" t="s">
        <v>3</v>
      </c>
      <c r="D25" s="156" t="s">
        <v>4</v>
      </c>
      <c r="E25" s="9" t="s">
        <v>5</v>
      </c>
      <c r="F25" s="583" t="str">
        <f>IF(D27&lt;=2800,"Enlightor NEO","Enlightor NEO-W")</f>
        <v>Enlightor NEO</v>
      </c>
      <c r="G25" s="584"/>
      <c r="H25" s="9" t="s">
        <v>6</v>
      </c>
      <c r="I25" s="585">
        <f ca="1">NOW()</f>
        <v>46062.500802662034</v>
      </c>
      <c r="J25" s="585"/>
      <c r="K25" s="585"/>
      <c r="L25" s="586"/>
    </row>
    <row r="26" spans="2:12" ht="40" customHeight="1" x14ac:dyDescent="0.2">
      <c r="B26" s="150" t="s">
        <v>7</v>
      </c>
      <c r="C26" s="106">
        <f t="shared" ref="C26:C31" si="0">+D26/$F$31</f>
        <v>228.34645669291339</v>
      </c>
      <c r="D26" s="269">
        <v>5800</v>
      </c>
      <c r="E26" s="152" t="s">
        <v>8</v>
      </c>
      <c r="F26" s="725">
        <v>2.4</v>
      </c>
      <c r="G26" s="726"/>
      <c r="H26" s="153" t="s">
        <v>9</v>
      </c>
      <c r="I26" s="626"/>
      <c r="J26" s="626"/>
      <c r="K26" s="626"/>
      <c r="L26" s="627"/>
    </row>
    <row r="27" spans="2:12" ht="40" customHeight="1" x14ac:dyDescent="0.2">
      <c r="B27" s="10" t="s">
        <v>10</v>
      </c>
      <c r="C27" s="22">
        <f t="shared" si="0"/>
        <v>95.144356955380601</v>
      </c>
      <c r="D27" s="121">
        <f>+D26/F26</f>
        <v>2416.666666666667</v>
      </c>
      <c r="E27" s="12" t="s">
        <v>11</v>
      </c>
      <c r="F27" s="723" t="s">
        <v>124</v>
      </c>
      <c r="G27" s="724"/>
      <c r="H27" s="12" t="s">
        <v>13</v>
      </c>
      <c r="I27" s="619"/>
      <c r="J27" s="620"/>
      <c r="K27" s="620"/>
      <c r="L27" s="621"/>
    </row>
    <row r="28" spans="2:12" ht="18" customHeight="1" x14ac:dyDescent="0.2">
      <c r="B28" s="10" t="s">
        <v>14</v>
      </c>
      <c r="C28" s="22">
        <f t="shared" si="0"/>
        <v>245.6692913385827</v>
      </c>
      <c r="D28" s="124">
        <f>+D26+(2*F30)+40</f>
        <v>6240</v>
      </c>
      <c r="E28" s="12" t="s">
        <v>112</v>
      </c>
      <c r="F28" s="158" t="s">
        <v>124</v>
      </c>
      <c r="G28" s="1" t="s">
        <v>16</v>
      </c>
      <c r="H28" s="1"/>
      <c r="I28" s="1"/>
      <c r="J28" s="1"/>
      <c r="K28" s="1"/>
      <c r="L28" s="15"/>
    </row>
    <row r="29" spans="2:12" ht="40" customHeight="1" x14ac:dyDescent="0.2">
      <c r="B29" s="10" t="s">
        <v>18</v>
      </c>
      <c r="C29" s="22">
        <f t="shared" si="0"/>
        <v>110.89238845144359</v>
      </c>
      <c r="D29" s="124">
        <f>+D27+(2*F30)</f>
        <v>2816.666666666667</v>
      </c>
      <c r="E29" s="12" t="s">
        <v>19</v>
      </c>
      <c r="F29" s="460" t="s">
        <v>143</v>
      </c>
      <c r="G29" s="16"/>
      <c r="H29" s="1"/>
      <c r="I29" s="1"/>
      <c r="J29" s="1"/>
      <c r="K29" s="1"/>
      <c r="L29" s="15"/>
    </row>
    <row r="30" spans="2:12" ht="18" customHeight="1" thickBot="1" x14ac:dyDescent="0.25">
      <c r="B30" s="10" t="s">
        <v>21</v>
      </c>
      <c r="C30" s="22">
        <f t="shared" si="0"/>
        <v>247.3753280839895</v>
      </c>
      <c r="D30" s="124">
        <f>SQRT((D26^2)+(D27^2))</f>
        <v>6283.333333333333</v>
      </c>
      <c r="E30" s="12" t="s">
        <v>22</v>
      </c>
      <c r="F30" s="128">
        <f>IF(D26&gt;5079,200,94)</f>
        <v>200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7" t="s">
        <v>23</v>
      </c>
      <c r="C31" s="25">
        <f t="shared" si="0"/>
        <v>8.8582677165354333</v>
      </c>
      <c r="D31" s="130">
        <v>225</v>
      </c>
      <c r="E31" s="18" t="s">
        <v>24</v>
      </c>
      <c r="F31" s="132">
        <v>25.4</v>
      </c>
      <c r="G31" s="19"/>
      <c r="H31" s="19"/>
      <c r="I31" s="19"/>
      <c r="J31" s="19"/>
      <c r="K31" s="686" t="s">
        <v>67</v>
      </c>
      <c r="L31" s="687"/>
    </row>
    <row r="32" spans="2:12" ht="16" thickBo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6" thickBot="1" x14ac:dyDescent="0.25">
      <c r="B33" s="205"/>
      <c r="C33" s="207"/>
      <c r="D33" s="207"/>
      <c r="E33" s="207"/>
      <c r="F33" s="207"/>
      <c r="G33" s="207"/>
      <c r="H33" s="207"/>
      <c r="I33" s="207"/>
      <c r="J33" s="207"/>
      <c r="K33" s="207"/>
      <c r="L33" s="208"/>
    </row>
    <row r="34" spans="2:12" ht="16" thickBot="1" x14ac:dyDescent="0.25">
      <c r="B34" s="608" t="s">
        <v>169</v>
      </c>
      <c r="C34" s="1"/>
      <c r="D34" s="1"/>
      <c r="E34" s="1"/>
      <c r="F34" s="1"/>
      <c r="G34" s="1"/>
      <c r="H34" s="1"/>
      <c r="I34" s="1"/>
      <c r="J34" s="1"/>
      <c r="K34" s="1"/>
      <c r="L34" s="15"/>
    </row>
    <row r="35" spans="2:12" ht="16" thickBot="1" x14ac:dyDescent="0.25">
      <c r="B35" s="609"/>
      <c r="C35" s="1" t="s">
        <v>177</v>
      </c>
      <c r="D35" s="83"/>
      <c r="E35" s="342" t="s">
        <v>231</v>
      </c>
      <c r="F35" s="1"/>
      <c r="G35" s="1"/>
      <c r="H35" s="1"/>
      <c r="I35" s="1"/>
      <c r="J35" s="1"/>
      <c r="K35" s="1"/>
      <c r="L35" s="15"/>
    </row>
    <row r="36" spans="2:12" ht="16" thickBot="1" x14ac:dyDescent="0.25">
      <c r="B36" s="610"/>
      <c r="C36" s="1" t="s">
        <v>178</v>
      </c>
      <c r="D36" s="83"/>
      <c r="E36" s="342"/>
      <c r="F36" s="1"/>
      <c r="G36" s="1"/>
      <c r="H36" s="1"/>
      <c r="I36" s="1"/>
      <c r="J36" s="1"/>
      <c r="K36" s="1"/>
      <c r="L36" s="15"/>
    </row>
    <row r="37" spans="2:12" x14ac:dyDescent="0.2">
      <c r="B37" s="209"/>
      <c r="C37" s="1"/>
      <c r="D37" s="1"/>
      <c r="E37" s="1"/>
      <c r="F37" s="1"/>
      <c r="G37" s="1"/>
      <c r="H37" s="1"/>
      <c r="I37" s="1"/>
      <c r="J37" s="1"/>
      <c r="K37" s="1"/>
      <c r="L37" s="15"/>
    </row>
    <row r="38" spans="2:12" x14ac:dyDescent="0.2">
      <c r="B38" s="209"/>
      <c r="C38" s="50" t="s">
        <v>101</v>
      </c>
      <c r="D38" s="50"/>
      <c r="E38" s="50"/>
      <c r="F38" s="50"/>
      <c r="G38" s="50"/>
      <c r="H38" s="50"/>
      <c r="I38" s="50"/>
      <c r="J38" s="50"/>
      <c r="K38" s="50"/>
      <c r="L38" s="468"/>
    </row>
    <row r="39" spans="2:12" x14ac:dyDescent="0.2">
      <c r="B39" s="209"/>
      <c r="C39" s="51"/>
      <c r="D39" s="51"/>
      <c r="E39" s="51"/>
      <c r="F39" s="51"/>
      <c r="G39" s="51"/>
      <c r="H39" s="51"/>
      <c r="I39" s="51"/>
      <c r="J39" s="51"/>
      <c r="K39" s="51"/>
      <c r="L39" s="469"/>
    </row>
    <row r="40" spans="2:12" x14ac:dyDescent="0.2">
      <c r="B40" s="225"/>
      <c r="C40" s="461" t="s">
        <v>102</v>
      </c>
      <c r="D40" s="461" t="s">
        <v>103</v>
      </c>
      <c r="E40" s="461" t="s">
        <v>104</v>
      </c>
      <c r="F40" s="461" t="s">
        <v>125</v>
      </c>
      <c r="G40" s="461" t="s">
        <v>105</v>
      </c>
      <c r="H40" s="461" t="s">
        <v>106</v>
      </c>
      <c r="I40" s="1"/>
      <c r="J40" s="1"/>
      <c r="K40" s="1"/>
      <c r="L40" s="15"/>
    </row>
    <row r="41" spans="2:12" x14ac:dyDescent="0.2">
      <c r="B41" s="209"/>
      <c r="C41" s="521">
        <f>F26</f>
        <v>2.4</v>
      </c>
      <c r="D41" s="174">
        <f t="shared" ref="D41:D44" si="1">+$D$27</f>
        <v>2416.666666666667</v>
      </c>
      <c r="E41" s="174">
        <f>+$F$5</f>
        <v>5800</v>
      </c>
      <c r="F41" s="431">
        <f t="shared" ref="F41:F44" si="2">+D41*C41</f>
        <v>5800.0000000000009</v>
      </c>
      <c r="G41" s="431">
        <f t="shared" ref="G41:G44" si="3">+E41-F41</f>
        <v>0</v>
      </c>
      <c r="H41" s="464">
        <f t="shared" ref="H41:H44" si="4">+F41/E41</f>
        <v>1.0000000000000002</v>
      </c>
      <c r="I41" s="1"/>
      <c r="J41" s="1"/>
      <c r="K41" s="1"/>
      <c r="L41" s="15"/>
    </row>
    <row r="42" spans="2:12" x14ac:dyDescent="0.2">
      <c r="B42" s="209"/>
      <c r="C42" s="521">
        <v>1.85</v>
      </c>
      <c r="D42" s="174">
        <f t="shared" si="1"/>
        <v>2416.666666666667</v>
      </c>
      <c r="E42" s="174">
        <f>+$F$5</f>
        <v>5800</v>
      </c>
      <c r="F42" s="431">
        <f t="shared" si="2"/>
        <v>4470.8333333333339</v>
      </c>
      <c r="G42" s="431">
        <f t="shared" si="3"/>
        <v>1329.1666666666661</v>
      </c>
      <c r="H42" s="464">
        <f t="shared" si="4"/>
        <v>0.77083333333333348</v>
      </c>
      <c r="I42" s="1"/>
      <c r="J42" s="1"/>
      <c r="K42" s="1"/>
      <c r="L42" s="15"/>
    </row>
    <row r="43" spans="2:12" x14ac:dyDescent="0.2">
      <c r="B43" s="209"/>
      <c r="C43" s="521">
        <v>1.78</v>
      </c>
      <c r="D43" s="174">
        <f t="shared" si="1"/>
        <v>2416.666666666667</v>
      </c>
      <c r="E43" s="174">
        <f>+$F$5</f>
        <v>5800</v>
      </c>
      <c r="F43" s="431">
        <f t="shared" si="2"/>
        <v>4301.666666666667</v>
      </c>
      <c r="G43" s="431">
        <f t="shared" si="3"/>
        <v>1498.333333333333</v>
      </c>
      <c r="H43" s="464">
        <f t="shared" si="4"/>
        <v>0.7416666666666667</v>
      </c>
      <c r="I43" s="1"/>
      <c r="J43" s="1"/>
      <c r="K43" s="1"/>
      <c r="L43" s="15"/>
    </row>
    <row r="44" spans="2:12" x14ac:dyDescent="0.2">
      <c r="B44" s="209"/>
      <c r="C44" s="521">
        <v>1.33</v>
      </c>
      <c r="D44" s="174">
        <f t="shared" si="1"/>
        <v>2416.666666666667</v>
      </c>
      <c r="E44" s="174">
        <f>+$F$5</f>
        <v>5800</v>
      </c>
      <c r="F44" s="431">
        <f t="shared" si="2"/>
        <v>3214.1666666666674</v>
      </c>
      <c r="G44" s="431">
        <f t="shared" si="3"/>
        <v>2585.8333333333326</v>
      </c>
      <c r="H44" s="464">
        <f t="shared" si="4"/>
        <v>0.55416666666666681</v>
      </c>
      <c r="I44" s="527"/>
      <c r="J44" s="1"/>
      <c r="K44" s="1"/>
      <c r="L44" s="15"/>
    </row>
    <row r="45" spans="2:12" x14ac:dyDescent="0.2">
      <c r="B45" s="209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16" customHeight="1" x14ac:dyDescent="0.2">
      <c r="B48" s="209"/>
      <c r="C48" s="51"/>
      <c r="D48" s="30" t="s">
        <v>27</v>
      </c>
      <c r="E48" s="30" t="s">
        <v>3</v>
      </c>
      <c r="F48" s="30" t="s">
        <v>4</v>
      </c>
      <c r="G48" s="1"/>
      <c r="H48" s="1"/>
      <c r="I48" s="1"/>
      <c r="J48" s="1"/>
      <c r="K48" s="1"/>
      <c r="L48" s="15"/>
    </row>
    <row r="49" spans="2:12" ht="16" customHeight="1" x14ac:dyDescent="0.2">
      <c r="B49" s="209"/>
      <c r="C49" s="51" t="s">
        <v>31</v>
      </c>
      <c r="D49" s="53" t="s">
        <v>49</v>
      </c>
      <c r="E49" s="52">
        <v>255</v>
      </c>
      <c r="F49" s="52">
        <f>E49*25.4</f>
        <v>6477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09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09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15"/>
    </row>
    <row r="52" spans="2:12" x14ac:dyDescent="0.2">
      <c r="B52" s="209"/>
      <c r="C52" s="1" t="s">
        <v>114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09"/>
      <c r="C53" s="1"/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09"/>
      <c r="C54" s="50" t="s">
        <v>36</v>
      </c>
      <c r="D54" s="55"/>
      <c r="E54" s="55"/>
      <c r="F54" s="55"/>
      <c r="G54" s="55"/>
      <c r="H54" s="55"/>
      <c r="I54" s="55"/>
      <c r="J54" s="55"/>
      <c r="K54" s="55"/>
      <c r="L54" s="215"/>
    </row>
    <row r="55" spans="2:12" x14ac:dyDescent="0.2">
      <c r="B55" s="225"/>
      <c r="C55" s="1" t="s">
        <v>37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09"/>
      <c r="C56" s="1" t="s">
        <v>115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ht="4" customHeight="1" thickBot="1" x14ac:dyDescent="0.25">
      <c r="B57" s="209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09"/>
      <c r="C58" s="522" t="s">
        <v>108</v>
      </c>
      <c r="D58" s="523">
        <v>2</v>
      </c>
      <c r="E58" s="523"/>
      <c r="F58" s="434"/>
      <c r="G58" s="1"/>
      <c r="H58" s="1"/>
      <c r="I58" s="1"/>
      <c r="J58" s="1"/>
      <c r="K58" s="1"/>
      <c r="L58" s="15"/>
    </row>
    <row r="59" spans="2:12" x14ac:dyDescent="0.2">
      <c r="B59" s="209"/>
      <c r="C59" s="524" t="s">
        <v>39</v>
      </c>
      <c r="D59" s="174">
        <f>+D28/2+350</f>
        <v>3470</v>
      </c>
      <c r="E59" s="144" t="s">
        <v>4</v>
      </c>
      <c r="F59" s="445" t="s">
        <v>40</v>
      </c>
      <c r="G59" s="1"/>
      <c r="H59" s="1"/>
      <c r="I59" s="1"/>
      <c r="J59" s="1"/>
      <c r="K59" s="1"/>
      <c r="L59" s="15"/>
    </row>
    <row r="60" spans="2:12" x14ac:dyDescent="0.2">
      <c r="B60" s="209"/>
      <c r="C60" s="524" t="s">
        <v>41</v>
      </c>
      <c r="D60" s="174">
        <f>+D29+100</f>
        <v>2916.666666666667</v>
      </c>
      <c r="E60" s="144" t="s">
        <v>4</v>
      </c>
      <c r="F60" s="445" t="s">
        <v>40</v>
      </c>
      <c r="G60" s="1"/>
      <c r="H60" s="1"/>
      <c r="I60" s="1"/>
      <c r="J60" s="1"/>
      <c r="K60" s="1"/>
      <c r="L60" s="15"/>
    </row>
    <row r="61" spans="2:12" x14ac:dyDescent="0.2">
      <c r="B61" s="209"/>
      <c r="C61" s="524" t="s">
        <v>42</v>
      </c>
      <c r="D61" s="174">
        <v>370</v>
      </c>
      <c r="E61" s="144" t="s">
        <v>4</v>
      </c>
      <c r="F61" s="445" t="s">
        <v>40</v>
      </c>
      <c r="G61" s="1"/>
      <c r="H61" s="1"/>
      <c r="I61" s="1"/>
      <c r="J61" s="1"/>
      <c r="K61" s="1"/>
      <c r="L61" s="15"/>
    </row>
    <row r="62" spans="2:12" ht="16" thickBot="1" x14ac:dyDescent="0.25">
      <c r="B62" s="209"/>
      <c r="C62" s="525" t="s">
        <v>43</v>
      </c>
      <c r="D62" s="526">
        <f>IF(C26&lt;140,C26*1.2,C26*1.2)</f>
        <v>274.01574803149606</v>
      </c>
      <c r="E62" s="440" t="s">
        <v>44</v>
      </c>
      <c r="F62" s="449" t="s">
        <v>45</v>
      </c>
      <c r="G62" s="1"/>
      <c r="H62" s="1"/>
      <c r="I62" s="1"/>
      <c r="J62" s="1"/>
      <c r="K62" s="1"/>
      <c r="L62" s="15"/>
    </row>
    <row r="63" spans="2:12" ht="16" thickBot="1" x14ac:dyDescent="0.25">
      <c r="B63" s="217"/>
      <c r="C63" s="19"/>
      <c r="D63" s="19"/>
      <c r="E63" s="19"/>
      <c r="F63" s="19"/>
      <c r="G63" s="19"/>
      <c r="H63" s="19"/>
      <c r="I63" s="19"/>
      <c r="J63" s="19"/>
      <c r="K63" s="19"/>
      <c r="L63" s="28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algorithmName="SHA-512" hashValue="SX/hAY+7IS91/L7cV5/UhLojd2XWqEPkvz1ms9ewzFZxodwbm5yVaXchYyfaKT3i19njr1KuVX8OFydPV7islQ==" saltValue="OZB3hSHAsE/fnKU2/75DEg==" spinCount="100000" sheet="1" objects="1" scenarios="1"/>
  <mergeCells count="10">
    <mergeCell ref="B34:B36"/>
    <mergeCell ref="K31:L31"/>
    <mergeCell ref="F27:G27"/>
    <mergeCell ref="I27:L27"/>
    <mergeCell ref="B2:L2"/>
    <mergeCell ref="B4:L4"/>
    <mergeCell ref="F25:G25"/>
    <mergeCell ref="I25:L25"/>
    <mergeCell ref="F26:G26"/>
    <mergeCell ref="I26:L26"/>
  </mergeCells>
  <phoneticPr fontId="4" type="noConversion"/>
  <pageMargins left="0.75000000000000011" right="0.75000000000000011" top="1" bottom="1" header="0.5" footer="0.5"/>
  <pageSetup paperSize="9" scale="68" orientation="portrait" horizontalDpi="4294967292" verticalDpi="4294967292"/>
  <ignoredErrors>
    <ignoredError sqref="F27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P75"/>
  <sheetViews>
    <sheetView showGridLines="0" topLeftCell="A4" workbookViewId="0">
      <selection activeCell="N14" sqref="N14"/>
    </sheetView>
  </sheetViews>
  <sheetFormatPr baseColWidth="10" defaultColWidth="10.83203125" defaultRowHeight="15" x14ac:dyDescent="0.2"/>
  <cols>
    <col min="1" max="1" width="10.83203125" style="109"/>
    <col min="2" max="2" width="11.83203125" style="109" customWidth="1"/>
    <col min="3" max="6" width="10.83203125" style="109"/>
    <col min="7" max="9" width="11.6640625" style="109" bestFit="1" customWidth="1"/>
    <col min="10" max="16384" width="10.83203125" style="109"/>
  </cols>
  <sheetData>
    <row r="2" spans="2:16" ht="48" customHeight="1" x14ac:dyDescent="0.2">
      <c r="B2" s="622" t="s">
        <v>126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6" ht="48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6" ht="41" customHeight="1" x14ac:dyDescent="0.2">
      <c r="B4" s="622" t="str">
        <f>+ROUND(C27,0)&amp;""""&amp;" "&amp;F27&amp;" Aspect Ratio"</f>
        <v>241" 2,35 Aspect Ratio</v>
      </c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528"/>
      <c r="N4" s="528"/>
      <c r="O4" s="528"/>
      <c r="P4" s="528"/>
    </row>
    <row r="5" spans="2:16" ht="41" customHeight="1" x14ac:dyDescent="0.2">
      <c r="B5" s="61"/>
      <c r="C5" s="528"/>
      <c r="D5" s="528"/>
      <c r="E5" s="528"/>
      <c r="F5" s="528"/>
      <c r="G5" s="40">
        <f>+D27</f>
        <v>6120</v>
      </c>
      <c r="H5" s="528"/>
      <c r="I5" s="528"/>
      <c r="J5" s="528"/>
      <c r="K5" s="528"/>
      <c r="L5" s="528"/>
      <c r="M5" s="528"/>
      <c r="N5" s="528"/>
      <c r="O5" s="528"/>
      <c r="P5" s="528"/>
    </row>
    <row r="6" spans="2:16" s="145" customFormat="1" ht="9" customHeight="1" x14ac:dyDescent="0.3"/>
    <row r="7" spans="2:16" s="145" customFormat="1" ht="25" customHeight="1" x14ac:dyDescent="0.3"/>
    <row r="8" spans="2:16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6" ht="9" customHeight="1" x14ac:dyDescent="0.2">
      <c r="B9" s="1"/>
      <c r="C9" s="202"/>
      <c r="D9" s="202"/>
      <c r="E9" s="202"/>
      <c r="F9" s="202"/>
      <c r="G9" s="202"/>
      <c r="H9" s="202"/>
      <c r="I9" s="202"/>
      <c r="J9" s="202"/>
      <c r="K9" s="1"/>
      <c r="L9" s="1"/>
    </row>
    <row r="10" spans="2:16" x14ac:dyDescent="0.2">
      <c r="B10" s="1"/>
      <c r="C10" s="202"/>
      <c r="D10" s="202"/>
      <c r="E10" s="202"/>
      <c r="F10" s="202"/>
      <c r="G10" s="202"/>
      <c r="H10" s="202"/>
      <c r="I10" s="202"/>
      <c r="J10" s="202"/>
      <c r="K10" s="1"/>
      <c r="L10" s="1"/>
    </row>
    <row r="11" spans="2:16" x14ac:dyDescent="0.2">
      <c r="B11" s="1"/>
      <c r="C11" s="202"/>
      <c r="D11" s="202"/>
      <c r="E11" s="202"/>
      <c r="F11" s="202"/>
      <c r="G11" s="202"/>
      <c r="H11" s="202"/>
      <c r="I11" s="202"/>
      <c r="J11" s="202"/>
      <c r="K11" s="1"/>
      <c r="L11" s="1"/>
    </row>
    <row r="12" spans="2:16" x14ac:dyDescent="0.2">
      <c r="B12" s="1"/>
      <c r="C12" s="202"/>
      <c r="E12" s="202"/>
      <c r="F12" s="202"/>
      <c r="G12" s="202"/>
      <c r="H12" s="202"/>
      <c r="I12" s="202"/>
      <c r="J12" s="202"/>
      <c r="K12" s="1"/>
      <c r="L12" s="1"/>
    </row>
    <row r="13" spans="2:16" x14ac:dyDescent="0.2">
      <c r="B13" s="1"/>
      <c r="C13" s="202"/>
      <c r="D13" s="226"/>
      <c r="E13" s="202"/>
      <c r="F13" s="202"/>
      <c r="G13" s="202"/>
      <c r="H13" s="202"/>
      <c r="I13" s="202"/>
      <c r="J13" s="202"/>
      <c r="K13" s="1"/>
      <c r="L13" s="1"/>
    </row>
    <row r="14" spans="2:16" x14ac:dyDescent="0.2">
      <c r="B14" s="40">
        <f>+D28</f>
        <v>2604.255319148936</v>
      </c>
      <c r="C14" s="202"/>
      <c r="D14" s="202"/>
      <c r="F14" s="202"/>
      <c r="G14" s="202"/>
      <c r="H14" s="202"/>
      <c r="I14" s="202"/>
      <c r="J14" s="202"/>
      <c r="K14" s="60">
        <f>+D30</f>
        <v>3004.255319148936</v>
      </c>
      <c r="L14" s="1"/>
      <c r="M14" s="529"/>
    </row>
    <row r="15" spans="2:16" ht="28" x14ac:dyDescent="0.2">
      <c r="B15" s="1"/>
      <c r="C15" s="202"/>
      <c r="D15" s="202"/>
      <c r="E15" s="226"/>
      <c r="F15" s="202"/>
      <c r="G15" s="564">
        <f>+D31</f>
        <v>6651.0559888874432</v>
      </c>
      <c r="I15" s="202"/>
      <c r="J15" s="202"/>
      <c r="L15" s="1"/>
    </row>
    <row r="16" spans="2:16" x14ac:dyDescent="0.2">
      <c r="B16" s="1"/>
      <c r="C16" s="202"/>
      <c r="D16" s="202"/>
      <c r="E16" s="202"/>
      <c r="F16" s="202"/>
      <c r="G16" s="565"/>
      <c r="H16" s="226"/>
      <c r="I16" s="202"/>
      <c r="J16" s="202"/>
      <c r="K16" s="114"/>
      <c r="L16" s="1"/>
    </row>
    <row r="17" spans="2:12" x14ac:dyDescent="0.2">
      <c r="B17" s="1"/>
      <c r="C17" s="202"/>
      <c r="D17" s="202"/>
      <c r="E17" s="202"/>
      <c r="F17" s="202"/>
      <c r="G17" s="260"/>
      <c r="H17" s="202"/>
      <c r="I17" s="202"/>
      <c r="J17" s="202"/>
      <c r="K17" s="1"/>
      <c r="L17" s="1"/>
    </row>
    <row r="18" spans="2:12" x14ac:dyDescent="0.2">
      <c r="B18" s="1"/>
      <c r="C18" s="202"/>
      <c r="D18" s="202"/>
      <c r="E18" s="202"/>
      <c r="F18" s="202"/>
      <c r="G18" s="202"/>
      <c r="H18" s="202"/>
      <c r="I18" s="202"/>
      <c r="J18" s="202"/>
      <c r="K18" s="1"/>
      <c r="L18" s="1"/>
    </row>
    <row r="19" spans="2:12" x14ac:dyDescent="0.2">
      <c r="B19" s="1"/>
      <c r="C19" s="202"/>
      <c r="D19" s="202"/>
      <c r="E19" s="202"/>
      <c r="F19" s="202"/>
      <c r="G19" s="202"/>
      <c r="H19" s="202"/>
      <c r="I19" s="202"/>
      <c r="J19" s="202"/>
      <c r="K19" s="1"/>
      <c r="L19" s="1"/>
    </row>
    <row r="20" spans="2:12" ht="19" customHeight="1" x14ac:dyDescent="0.2">
      <c r="B20" s="1"/>
      <c r="C20" s="202"/>
      <c r="D20" s="202"/>
      <c r="E20" s="202"/>
      <c r="F20" s="202"/>
      <c r="G20" s="202"/>
      <c r="H20" s="202"/>
      <c r="I20" s="202"/>
      <c r="J20" s="202"/>
      <c r="K20" s="1"/>
      <c r="L20" s="1"/>
    </row>
    <row r="21" spans="2:12" ht="11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2">
      <c r="B23" s="1"/>
      <c r="C23" s="1"/>
      <c r="D23" s="1"/>
      <c r="E23" s="1"/>
      <c r="F23" s="1"/>
      <c r="H23" s="1"/>
      <c r="I23" s="1"/>
      <c r="J23" s="1"/>
      <c r="K23" s="1"/>
      <c r="L23" s="40">
        <f>+D32</f>
        <v>413</v>
      </c>
    </row>
    <row r="24" spans="2:12" x14ac:dyDescent="0.2">
      <c r="B24" s="1"/>
      <c r="C24" s="1"/>
      <c r="D24" s="1"/>
      <c r="E24" s="1"/>
      <c r="F24" s="1"/>
      <c r="G24" s="87">
        <f>+D29</f>
        <v>6560</v>
      </c>
      <c r="H24" s="1"/>
      <c r="I24" s="1"/>
      <c r="J24" s="1"/>
      <c r="K24" s="1"/>
      <c r="L24" s="1"/>
    </row>
    <row r="25" spans="2:12" ht="16" thickBot="1" x14ac:dyDescent="0.25">
      <c r="B25" s="1"/>
      <c r="C25" s="1"/>
      <c r="D25" s="1"/>
      <c r="E25" s="1"/>
      <c r="F25" s="90"/>
      <c r="G25" s="1"/>
      <c r="H25" s="1"/>
      <c r="I25" s="1"/>
      <c r="J25" s="1"/>
      <c r="K25" s="1"/>
      <c r="L25" s="1"/>
    </row>
    <row r="26" spans="2:12" ht="18" customHeight="1" x14ac:dyDescent="0.2">
      <c r="B26" s="6"/>
      <c r="C26" s="7" t="s">
        <v>3</v>
      </c>
      <c r="D26" s="156" t="s">
        <v>4</v>
      </c>
      <c r="E26" s="9" t="s">
        <v>5</v>
      </c>
      <c r="F26" s="583" t="str">
        <f>IF(D28&lt;=2800,"Enlightor NEO","Enlightor NEO-W")</f>
        <v>Enlightor NEO</v>
      </c>
      <c r="G26" s="584"/>
      <c r="H26" s="9" t="s">
        <v>6</v>
      </c>
      <c r="I26" s="585">
        <f ca="1">NOW()</f>
        <v>46062.500802662034</v>
      </c>
      <c r="J26" s="585"/>
      <c r="K26" s="585"/>
      <c r="L26" s="586"/>
    </row>
    <row r="27" spans="2:12" ht="40" customHeight="1" x14ac:dyDescent="0.2">
      <c r="B27" s="150" t="s">
        <v>7</v>
      </c>
      <c r="C27" s="166">
        <f t="shared" ref="C27:C32" si="0">+D27/$F$32</f>
        <v>240.94488188976379</v>
      </c>
      <c r="D27" s="269">
        <v>6120</v>
      </c>
      <c r="E27" s="152" t="s">
        <v>8</v>
      </c>
      <c r="F27" s="587">
        <v>2.35</v>
      </c>
      <c r="G27" s="588"/>
      <c r="H27" s="153" t="s">
        <v>9</v>
      </c>
      <c r="I27" s="626"/>
      <c r="J27" s="626"/>
      <c r="K27" s="626"/>
      <c r="L27" s="627"/>
    </row>
    <row r="28" spans="2:12" ht="40" customHeight="1" x14ac:dyDescent="0.2">
      <c r="B28" s="10" t="s">
        <v>10</v>
      </c>
      <c r="C28" s="167">
        <f t="shared" si="0"/>
        <v>102.52973697436757</v>
      </c>
      <c r="D28" s="128">
        <f>+D27/F27</f>
        <v>2604.255319148936</v>
      </c>
      <c r="E28" s="12" t="s">
        <v>11</v>
      </c>
      <c r="F28" s="700" t="s">
        <v>127</v>
      </c>
      <c r="G28" s="701"/>
      <c r="H28" s="12" t="s">
        <v>13</v>
      </c>
      <c r="I28" s="619"/>
      <c r="J28" s="620"/>
      <c r="K28" s="620"/>
      <c r="L28" s="621"/>
    </row>
    <row r="29" spans="2:12" ht="18" customHeight="1" x14ac:dyDescent="0.2">
      <c r="B29" s="10" t="s">
        <v>14</v>
      </c>
      <c r="C29" s="167">
        <f t="shared" si="0"/>
        <v>258.26771653543307</v>
      </c>
      <c r="D29" s="174">
        <f>+D27+(2*F31)+40</f>
        <v>6560</v>
      </c>
      <c r="E29" s="12" t="s">
        <v>112</v>
      </c>
      <c r="F29" s="174" t="s">
        <v>127</v>
      </c>
      <c r="G29" s="1" t="s">
        <v>16</v>
      </c>
      <c r="H29" s="1"/>
      <c r="I29" s="1"/>
      <c r="J29" s="1"/>
      <c r="K29" s="1"/>
      <c r="L29" s="15"/>
    </row>
    <row r="30" spans="2:12" ht="40" customHeight="1" x14ac:dyDescent="0.2">
      <c r="B30" s="10" t="s">
        <v>18</v>
      </c>
      <c r="C30" s="167">
        <f t="shared" si="0"/>
        <v>118.27776847043056</v>
      </c>
      <c r="D30" s="174">
        <f>+D28+(2*F31)</f>
        <v>3004.255319148936</v>
      </c>
      <c r="E30" s="12" t="s">
        <v>19</v>
      </c>
      <c r="F30" s="530" t="s">
        <v>76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0" t="s">
        <v>21</v>
      </c>
      <c r="C31" s="167">
        <f t="shared" si="0"/>
        <v>261.85259798769465</v>
      </c>
      <c r="D31" s="174">
        <f>SQRT((D27^2)+(D28^2))</f>
        <v>6651.0559888874432</v>
      </c>
      <c r="E31" s="12" t="s">
        <v>22</v>
      </c>
      <c r="F31" s="128">
        <f>IF(D27&gt;5079,200,94)</f>
        <v>200</v>
      </c>
      <c r="G31" s="16"/>
      <c r="H31" s="1"/>
      <c r="I31" s="1"/>
      <c r="J31" s="1"/>
      <c r="K31" s="1"/>
      <c r="L31" s="15"/>
    </row>
    <row r="32" spans="2:12" ht="18" customHeight="1" thickBot="1" x14ac:dyDescent="0.25">
      <c r="B32" s="17" t="s">
        <v>23</v>
      </c>
      <c r="C32" s="168">
        <f t="shared" si="0"/>
        <v>16.259842519685041</v>
      </c>
      <c r="D32" s="172">
        <f>VLOOKUP(C27,C42:E52,2)</f>
        <v>413</v>
      </c>
      <c r="E32" s="18" t="s">
        <v>24</v>
      </c>
      <c r="F32" s="132">
        <v>25.4</v>
      </c>
      <c r="G32" s="19"/>
      <c r="H32" s="19"/>
      <c r="I32" s="19"/>
      <c r="J32" s="19"/>
      <c r="K32" s="686" t="s">
        <v>67</v>
      </c>
      <c r="L32" s="687"/>
    </row>
    <row r="33" spans="2:14" ht="18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4" ht="18" customHeight="1" thickBot="1" x14ac:dyDescent="0.25">
      <c r="B34" s="205"/>
      <c r="C34" s="207"/>
      <c r="D34" s="207"/>
      <c r="E34" s="207"/>
      <c r="F34" s="207"/>
      <c r="G34" s="207"/>
      <c r="H34" s="207"/>
      <c r="I34" s="207"/>
      <c r="J34" s="207"/>
      <c r="K34" s="207"/>
      <c r="L34" s="208"/>
    </row>
    <row r="35" spans="2:14" ht="18" customHeight="1" thickBot="1" x14ac:dyDescent="0.25">
      <c r="B35" s="608" t="s">
        <v>169</v>
      </c>
      <c r="C35" s="1"/>
      <c r="D35" s="1"/>
      <c r="E35" s="1"/>
      <c r="F35" s="1"/>
      <c r="G35" s="1"/>
      <c r="H35" s="1"/>
      <c r="I35" s="1"/>
      <c r="J35" s="1"/>
      <c r="K35" s="1"/>
      <c r="L35" s="15"/>
    </row>
    <row r="36" spans="2:14" ht="18" customHeight="1" thickBot="1" x14ac:dyDescent="0.25">
      <c r="B36" s="609"/>
      <c r="C36" s="1" t="s">
        <v>177</v>
      </c>
      <c r="D36" s="83"/>
      <c r="E36" s="342"/>
      <c r="F36" s="1"/>
      <c r="G36" s="1"/>
      <c r="H36" s="1"/>
      <c r="I36" s="1"/>
      <c r="J36" s="1"/>
      <c r="K36" s="1"/>
      <c r="L36" s="15"/>
    </row>
    <row r="37" spans="2:14" ht="18" customHeight="1" thickBot="1" x14ac:dyDescent="0.25">
      <c r="B37" s="610"/>
      <c r="C37" s="1" t="s">
        <v>178</v>
      </c>
      <c r="D37" s="83"/>
      <c r="E37" s="342" t="s">
        <v>231</v>
      </c>
      <c r="F37" s="1"/>
      <c r="G37" s="1"/>
      <c r="H37" s="1"/>
      <c r="I37" s="1"/>
      <c r="J37" s="1"/>
      <c r="K37" s="1"/>
      <c r="L37" s="15"/>
    </row>
    <row r="38" spans="2:14" ht="18" customHeight="1" x14ac:dyDescent="0.2">
      <c r="B38" s="209"/>
      <c r="C38" s="1"/>
      <c r="D38" s="1"/>
      <c r="E38" s="1"/>
      <c r="F38" s="1"/>
      <c r="G38" s="1"/>
      <c r="H38" s="1"/>
      <c r="I38" s="1"/>
      <c r="J38" s="1"/>
      <c r="K38" s="1"/>
      <c r="L38" s="15"/>
    </row>
    <row r="39" spans="2:14" ht="18" customHeight="1" x14ac:dyDescent="0.2">
      <c r="B39" s="209"/>
      <c r="C39" s="729" t="s">
        <v>69</v>
      </c>
      <c r="D39" s="729"/>
      <c r="E39" s="1"/>
      <c r="F39" s="50" t="s">
        <v>101</v>
      </c>
      <c r="G39" s="55"/>
      <c r="H39" s="55"/>
      <c r="I39" s="55"/>
      <c r="J39" s="55"/>
      <c r="K39" s="55"/>
      <c r="L39" s="215"/>
    </row>
    <row r="40" spans="2:14" ht="18" customHeight="1" x14ac:dyDescent="0.2">
      <c r="B40" s="225"/>
      <c r="C40" s="30"/>
      <c r="D40" s="30"/>
      <c r="E40" s="417"/>
      <c r="F40" s="51"/>
      <c r="G40" s="1"/>
      <c r="H40" s="1"/>
      <c r="I40" s="1"/>
      <c r="J40" s="1"/>
      <c r="K40" s="1"/>
      <c r="L40" s="15"/>
    </row>
    <row r="41" spans="2:14" ht="18" customHeight="1" x14ac:dyDescent="0.2">
      <c r="B41" s="209"/>
      <c r="C41" s="322" t="s">
        <v>128</v>
      </c>
      <c r="D41" s="322" t="s">
        <v>23</v>
      </c>
      <c r="E41" s="143"/>
      <c r="F41" s="143"/>
      <c r="G41" s="143"/>
      <c r="H41" s="143"/>
      <c r="I41" s="143"/>
      <c r="J41" s="143"/>
      <c r="K41" s="1"/>
      <c r="L41" s="15"/>
    </row>
    <row r="42" spans="2:14" ht="18" customHeight="1" x14ac:dyDescent="0.2">
      <c r="B42" s="209"/>
      <c r="C42" s="144">
        <v>80</v>
      </c>
      <c r="D42" s="465">
        <v>223</v>
      </c>
      <c r="E42" s="143"/>
      <c r="F42" s="533" t="s">
        <v>102</v>
      </c>
      <c r="G42" s="533" t="s">
        <v>103</v>
      </c>
      <c r="H42" s="533" t="s">
        <v>104</v>
      </c>
      <c r="I42" s="533" t="s">
        <v>129</v>
      </c>
      <c r="J42" s="533" t="s">
        <v>106</v>
      </c>
      <c r="K42" s="1"/>
      <c r="L42" s="15"/>
    </row>
    <row r="43" spans="2:14" ht="18" customHeight="1" x14ac:dyDescent="0.2">
      <c r="B43" s="209"/>
      <c r="C43" s="144">
        <v>90</v>
      </c>
      <c r="D43" s="465">
        <v>234</v>
      </c>
      <c r="E43" s="143"/>
      <c r="F43" s="534">
        <f>F27</f>
        <v>2.35</v>
      </c>
      <c r="G43" s="535">
        <f t="shared" ref="G43:G46" si="1">+$D$28</f>
        <v>2604.255319148936</v>
      </c>
      <c r="H43" s="535">
        <f t="shared" ref="H43" si="2">G43*F43</f>
        <v>6120</v>
      </c>
      <c r="I43" s="535">
        <f>D27-H43</f>
        <v>0</v>
      </c>
      <c r="J43" s="536">
        <v>1</v>
      </c>
      <c r="K43" s="1"/>
      <c r="L43" s="15"/>
    </row>
    <row r="44" spans="2:14" ht="18" customHeight="1" x14ac:dyDescent="0.2">
      <c r="B44" s="209"/>
      <c r="C44" s="144">
        <v>100</v>
      </c>
      <c r="D44" s="465">
        <v>247</v>
      </c>
      <c r="E44" s="143"/>
      <c r="F44" s="487">
        <v>1.85</v>
      </c>
      <c r="G44" s="535">
        <f t="shared" si="1"/>
        <v>2604.255319148936</v>
      </c>
      <c r="H44" s="535">
        <f>G44*F44</f>
        <v>4817.8723404255315</v>
      </c>
      <c r="I44" s="535">
        <f>D27-H44</f>
        <v>1302.1276595744685</v>
      </c>
      <c r="J44" s="536">
        <v>0.77</v>
      </c>
      <c r="K44" s="1"/>
      <c r="L44" s="15"/>
    </row>
    <row r="45" spans="2:14" ht="18" customHeight="1" x14ac:dyDescent="0.2">
      <c r="B45" s="209"/>
      <c r="C45" s="144">
        <v>110</v>
      </c>
      <c r="D45" s="465">
        <v>250</v>
      </c>
      <c r="E45" s="143"/>
      <c r="F45" s="487">
        <v>1.78</v>
      </c>
      <c r="G45" s="535">
        <f t="shared" si="1"/>
        <v>2604.255319148936</v>
      </c>
      <c r="H45" s="535">
        <f>G45*F45</f>
        <v>4635.5744680851058</v>
      </c>
      <c r="I45" s="535">
        <f>D27-H45</f>
        <v>1484.4255319148942</v>
      </c>
      <c r="J45" s="536">
        <v>0.74</v>
      </c>
      <c r="K45" s="1"/>
      <c r="L45" s="15"/>
    </row>
    <row r="46" spans="2:14" ht="18" customHeight="1" x14ac:dyDescent="0.2">
      <c r="B46" s="209"/>
      <c r="C46" s="144">
        <v>120</v>
      </c>
      <c r="D46" s="465">
        <v>263</v>
      </c>
      <c r="E46" s="143"/>
      <c r="F46" s="487">
        <v>1.33</v>
      </c>
      <c r="G46" s="535">
        <f t="shared" si="1"/>
        <v>2604.255319148936</v>
      </c>
      <c r="H46" s="535">
        <f>G46*F46</f>
        <v>3463.6595744680849</v>
      </c>
      <c r="I46" s="535">
        <f>D27-H46</f>
        <v>2656.3404255319151</v>
      </c>
      <c r="J46" s="536">
        <v>0.55000000000000004</v>
      </c>
      <c r="K46" s="1"/>
      <c r="L46" s="15"/>
    </row>
    <row r="47" spans="2:14" ht="18" customHeight="1" thickBot="1" x14ac:dyDescent="0.25">
      <c r="B47" s="209"/>
      <c r="C47" s="144">
        <v>130</v>
      </c>
      <c r="D47" s="465">
        <v>277</v>
      </c>
      <c r="E47" s="143"/>
      <c r="F47" s="143"/>
      <c r="G47" s="143"/>
      <c r="H47" s="143"/>
      <c r="I47" s="143"/>
      <c r="J47" s="143"/>
      <c r="K47" s="1"/>
      <c r="L47" s="15"/>
    </row>
    <row r="48" spans="2:14" ht="18" customHeight="1" thickBot="1" x14ac:dyDescent="0.25">
      <c r="B48" s="209"/>
      <c r="C48" s="144">
        <v>140</v>
      </c>
      <c r="D48" s="465">
        <v>279</v>
      </c>
      <c r="E48" s="143"/>
      <c r="F48" s="143"/>
      <c r="G48" s="143"/>
      <c r="H48" s="143"/>
      <c r="I48" s="143"/>
      <c r="J48" s="143"/>
      <c r="K48" s="1"/>
      <c r="L48" s="15"/>
      <c r="N48" s="538"/>
    </row>
    <row r="49" spans="2:12" ht="18" customHeight="1" x14ac:dyDescent="0.2">
      <c r="B49" s="209"/>
      <c r="C49" s="144">
        <v>150</v>
      </c>
      <c r="D49" s="465">
        <v>293</v>
      </c>
      <c r="E49" s="143"/>
      <c r="F49" s="143"/>
      <c r="G49" s="143"/>
      <c r="H49" s="143"/>
      <c r="I49" s="143"/>
      <c r="J49" s="143"/>
      <c r="K49" s="1"/>
      <c r="L49" s="15"/>
    </row>
    <row r="50" spans="2:12" ht="18" customHeight="1" x14ac:dyDescent="0.2">
      <c r="B50" s="209"/>
      <c r="C50" s="144">
        <v>160</v>
      </c>
      <c r="D50" s="465">
        <v>380</v>
      </c>
      <c r="E50" s="143"/>
      <c r="F50" s="537"/>
      <c r="G50" s="143"/>
      <c r="H50" s="143"/>
      <c r="I50" s="143"/>
      <c r="J50" s="143"/>
      <c r="K50" s="1"/>
      <c r="L50" s="15"/>
    </row>
    <row r="51" spans="2:12" ht="18" customHeight="1" x14ac:dyDescent="0.2">
      <c r="B51" s="209"/>
      <c r="C51" s="144">
        <v>170</v>
      </c>
      <c r="D51" s="465">
        <v>381</v>
      </c>
      <c r="E51" s="143"/>
      <c r="F51" s="537"/>
      <c r="G51" s="143"/>
      <c r="H51" s="143"/>
      <c r="I51" s="143"/>
      <c r="J51" s="143"/>
      <c r="K51" s="1"/>
      <c r="L51" s="15"/>
    </row>
    <row r="52" spans="2:12" ht="18" customHeight="1" x14ac:dyDescent="0.2">
      <c r="B52" s="209"/>
      <c r="C52" s="144">
        <v>180</v>
      </c>
      <c r="D52" s="465">
        <v>413</v>
      </c>
      <c r="E52" s="143"/>
      <c r="F52" s="537"/>
      <c r="G52" s="143"/>
      <c r="H52" s="143"/>
      <c r="I52" s="143"/>
      <c r="J52" s="143"/>
      <c r="K52" s="1"/>
      <c r="L52" s="15"/>
    </row>
    <row r="53" spans="2:12" ht="18" customHeight="1" x14ac:dyDescent="0.2">
      <c r="B53" s="209"/>
      <c r="C53" s="52"/>
      <c r="D53" s="539"/>
      <c r="E53" s="1"/>
      <c r="F53" s="527"/>
      <c r="G53" s="1"/>
      <c r="H53" s="1"/>
      <c r="I53" s="1"/>
      <c r="J53" s="1"/>
      <c r="K53" s="1"/>
      <c r="L53" s="15"/>
    </row>
    <row r="54" spans="2:12" ht="18" customHeight="1" x14ac:dyDescent="0.2">
      <c r="B54" s="209"/>
      <c r="C54" s="1"/>
      <c r="D54" s="540"/>
      <c r="E54" s="1"/>
      <c r="F54" s="1"/>
      <c r="G54" s="1"/>
      <c r="H54" s="1"/>
      <c r="I54" s="1"/>
      <c r="J54" s="1"/>
      <c r="K54" s="1"/>
      <c r="L54" s="15"/>
    </row>
    <row r="55" spans="2:12" ht="18" customHeight="1" x14ac:dyDescent="0.2">
      <c r="B55" s="209"/>
      <c r="C55" s="50" t="s">
        <v>48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ht="18" customHeight="1" x14ac:dyDescent="0.2">
      <c r="B56" s="225"/>
      <c r="C56" s="54"/>
      <c r="D56" s="1"/>
      <c r="E56" s="1"/>
      <c r="F56" s="1"/>
      <c r="G56" s="1"/>
      <c r="H56" s="1"/>
      <c r="I56" s="1"/>
      <c r="J56" s="1"/>
      <c r="K56" s="1"/>
      <c r="L56" s="15"/>
    </row>
    <row r="57" spans="2:12" ht="18" customHeight="1" x14ac:dyDescent="0.2">
      <c r="B57" s="209"/>
      <c r="C57" s="51"/>
      <c r="D57" s="30" t="s">
        <v>27</v>
      </c>
      <c r="E57" s="30" t="s">
        <v>3</v>
      </c>
      <c r="F57" s="30" t="s">
        <v>4</v>
      </c>
      <c r="G57" s="1"/>
      <c r="H57" s="1"/>
      <c r="I57" s="1"/>
      <c r="J57" s="1"/>
      <c r="K57" s="1"/>
      <c r="L57" s="15"/>
    </row>
    <row r="58" spans="2:12" ht="18" customHeight="1" x14ac:dyDescent="0.2">
      <c r="B58" s="209"/>
      <c r="C58" s="51" t="s">
        <v>31</v>
      </c>
      <c r="D58" s="53" t="s">
        <v>49</v>
      </c>
      <c r="E58" s="52">
        <v>180</v>
      </c>
      <c r="F58" s="52">
        <f>E58*25.4</f>
        <v>4572</v>
      </c>
      <c r="G58" s="1"/>
      <c r="H58" s="1" t="s">
        <v>50</v>
      </c>
      <c r="I58" s="1"/>
      <c r="J58" s="1"/>
      <c r="K58" s="1"/>
      <c r="L58" s="15"/>
    </row>
    <row r="59" spans="2:12" ht="18" customHeight="1" x14ac:dyDescent="0.2">
      <c r="B59" s="209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ht="18" customHeight="1" x14ac:dyDescent="0.2">
      <c r="B60" s="209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15"/>
    </row>
    <row r="61" spans="2:12" ht="18" customHeight="1" x14ac:dyDescent="0.2">
      <c r="B61" s="225"/>
      <c r="C61" s="727" t="s">
        <v>130</v>
      </c>
      <c r="D61" s="727"/>
      <c r="E61" s="727"/>
      <c r="F61" s="727"/>
      <c r="G61" s="727"/>
      <c r="H61" s="727"/>
      <c r="I61" s="727"/>
      <c r="J61" s="727"/>
      <c r="K61" s="1"/>
      <c r="L61" s="15"/>
    </row>
    <row r="62" spans="2:12" ht="18" customHeight="1" x14ac:dyDescent="0.2">
      <c r="B62" s="209"/>
      <c r="C62" s="728"/>
      <c r="D62" s="728"/>
      <c r="E62" s="728"/>
      <c r="F62" s="728"/>
      <c r="G62" s="728"/>
      <c r="H62" s="728"/>
      <c r="I62" s="728"/>
      <c r="J62" s="728"/>
      <c r="K62" s="1"/>
      <c r="L62" s="15"/>
    </row>
    <row r="63" spans="2:12" ht="18" customHeight="1" x14ac:dyDescent="0.2">
      <c r="B63" s="209"/>
      <c r="C63" s="1"/>
      <c r="D63" s="1"/>
      <c r="E63" s="1"/>
      <c r="F63" s="1"/>
      <c r="G63" s="1"/>
      <c r="H63" s="1"/>
      <c r="I63" s="1"/>
      <c r="J63" s="1"/>
      <c r="K63" s="1"/>
      <c r="L63" s="15"/>
    </row>
    <row r="64" spans="2:12" ht="18" customHeight="1" x14ac:dyDescent="0.2">
      <c r="B64" s="209"/>
      <c r="C64" s="50" t="s">
        <v>36</v>
      </c>
      <c r="D64" s="55"/>
      <c r="E64" s="55"/>
      <c r="F64" s="55"/>
      <c r="G64" s="55"/>
      <c r="H64" s="55"/>
      <c r="I64" s="55"/>
      <c r="J64" s="55"/>
      <c r="K64" s="55"/>
      <c r="L64" s="215"/>
    </row>
    <row r="65" spans="2:12" ht="18" customHeight="1" x14ac:dyDescent="0.2">
      <c r="B65" s="225"/>
      <c r="C65" s="1" t="s">
        <v>37</v>
      </c>
      <c r="D65" s="1"/>
      <c r="E65" s="1"/>
      <c r="F65" s="1"/>
      <c r="G65" s="1"/>
      <c r="H65" s="1"/>
      <c r="I65" s="1"/>
      <c r="J65" s="1"/>
      <c r="K65" s="1"/>
      <c r="L65" s="15"/>
    </row>
    <row r="66" spans="2:12" ht="18" customHeight="1" x14ac:dyDescent="0.2">
      <c r="B66" s="209"/>
      <c r="C66" s="1" t="s">
        <v>115</v>
      </c>
      <c r="D66" s="1"/>
      <c r="E66" s="1"/>
      <c r="F66" s="1"/>
      <c r="G66" s="1"/>
      <c r="H66" s="1"/>
      <c r="I66" s="1"/>
      <c r="J66" s="1"/>
      <c r="K66" s="1"/>
      <c r="L66" s="15"/>
    </row>
    <row r="67" spans="2:12" ht="18" customHeight="1" x14ac:dyDescent="0.2">
      <c r="B67" s="209"/>
      <c r="C67" s="1"/>
      <c r="D67" s="1"/>
      <c r="E67" s="1"/>
      <c r="F67" s="1"/>
      <c r="G67" s="1"/>
      <c r="H67" s="1"/>
      <c r="I67" s="1"/>
      <c r="J67" s="1"/>
      <c r="K67" s="1"/>
      <c r="L67" s="15"/>
    </row>
    <row r="68" spans="2:12" ht="18" customHeight="1" x14ac:dyDescent="0.2">
      <c r="B68" s="209"/>
      <c r="C68" s="144" t="s">
        <v>108</v>
      </c>
      <c r="D68" s="497">
        <v>2</v>
      </c>
      <c r="E68" s="144"/>
      <c r="F68" s="143"/>
      <c r="G68" s="1"/>
      <c r="H68" s="1"/>
      <c r="I68" s="1"/>
      <c r="J68" s="1"/>
      <c r="K68" s="1"/>
      <c r="L68" s="15"/>
    </row>
    <row r="69" spans="2:12" ht="18" customHeight="1" x14ac:dyDescent="0.2">
      <c r="B69" s="209"/>
      <c r="C69" s="144" t="s">
        <v>39</v>
      </c>
      <c r="D69" s="531">
        <f>+D29/2+350</f>
        <v>3630</v>
      </c>
      <c r="E69" s="144" t="s">
        <v>4</v>
      </c>
      <c r="F69" s="143" t="s">
        <v>40</v>
      </c>
      <c r="G69" s="1"/>
      <c r="H69" s="1"/>
      <c r="I69" s="1"/>
      <c r="J69" s="1"/>
      <c r="K69" s="1"/>
      <c r="L69" s="15"/>
    </row>
    <row r="70" spans="2:12" ht="18" customHeight="1" x14ac:dyDescent="0.2">
      <c r="B70" s="209"/>
      <c r="C70" s="144" t="s">
        <v>41</v>
      </c>
      <c r="D70" s="531">
        <f>+D30+100</f>
        <v>3104.255319148936</v>
      </c>
      <c r="E70" s="144" t="s">
        <v>4</v>
      </c>
      <c r="F70" s="143" t="s">
        <v>40</v>
      </c>
      <c r="G70" s="1"/>
      <c r="H70" s="1"/>
      <c r="I70" s="1"/>
      <c r="J70" s="1"/>
      <c r="K70" s="1"/>
      <c r="L70" s="15"/>
    </row>
    <row r="71" spans="2:12" ht="18" customHeight="1" x14ac:dyDescent="0.2">
      <c r="B71" s="209"/>
      <c r="C71" s="144" t="s">
        <v>81</v>
      </c>
      <c r="D71" s="531">
        <f>D32+100</f>
        <v>513</v>
      </c>
      <c r="E71" s="144" t="s">
        <v>4</v>
      </c>
      <c r="F71" s="143" t="s">
        <v>40</v>
      </c>
      <c r="G71" s="1"/>
      <c r="H71" s="1"/>
      <c r="I71" s="1"/>
      <c r="J71" s="1"/>
      <c r="K71" s="1"/>
      <c r="L71" s="15"/>
    </row>
    <row r="72" spans="2:12" ht="18" customHeight="1" thickBot="1" x14ac:dyDescent="0.25">
      <c r="B72" s="217"/>
      <c r="C72" s="440" t="s">
        <v>43</v>
      </c>
      <c r="D72" s="541">
        <f>IF(C27&lt;140,C27*1.3,C27*1.3)</f>
        <v>313.22834645669292</v>
      </c>
      <c r="E72" s="440" t="s">
        <v>44</v>
      </c>
      <c r="F72" s="448" t="s">
        <v>45</v>
      </c>
      <c r="G72" s="19"/>
      <c r="H72" s="19"/>
      <c r="I72" s="19"/>
      <c r="J72" s="19"/>
      <c r="K72" s="19"/>
      <c r="L72" s="28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sheetProtection algorithmName="SHA-512" hashValue="vuDWw5A7ZE5kLG0MAWjv03QdGrh7tfQZz26G9Jlqfn0dtq/tu0Lg1zPvj0ipttlR7H70G7HGQcvUXY8xXOGyGQ==" saltValue="oPTD6nEAP/MLStHl/hJdRA==" spinCount="100000" sheet="1" objects="1" scenarios="1"/>
  <mergeCells count="12">
    <mergeCell ref="C61:J62"/>
    <mergeCell ref="B2:L2"/>
    <mergeCell ref="F26:G26"/>
    <mergeCell ref="I26:L26"/>
    <mergeCell ref="F27:G27"/>
    <mergeCell ref="I27:L27"/>
    <mergeCell ref="C39:D39"/>
    <mergeCell ref="F28:G28"/>
    <mergeCell ref="I28:L28"/>
    <mergeCell ref="B4:L4"/>
    <mergeCell ref="K32:L32"/>
    <mergeCell ref="B35:B37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4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O111"/>
  <sheetViews>
    <sheetView showGridLines="0" workbookViewId="0">
      <selection activeCell="O3" sqref="O3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16384" width="10.83203125" style="109"/>
  </cols>
  <sheetData>
    <row r="2" spans="2:12" ht="38" customHeight="1" x14ac:dyDescent="0.2">
      <c r="B2" s="622" t="s">
        <v>131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145" customFormat="1" ht="49" customHeight="1" x14ac:dyDescent="0.3">
      <c r="B3" s="623" t="str">
        <f>+ROUND(C31,0)&amp;""""&amp;" "&amp;F31&amp;" Aspect Ratio"</f>
        <v>157" 2,07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2" s="145" customFormat="1" ht="38" customHeight="1" x14ac:dyDescent="0.3">
      <c r="B4" s="59"/>
      <c r="C4" s="59"/>
      <c r="D4" s="59"/>
      <c r="E4" s="59"/>
      <c r="F4" s="59"/>
      <c r="G4" s="542">
        <f>+D31</f>
        <v>4000</v>
      </c>
      <c r="H4" s="59"/>
      <c r="I4" s="59"/>
      <c r="J4" s="59"/>
      <c r="K4" s="59"/>
      <c r="L4" s="59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91"/>
      <c r="D6" s="191"/>
      <c r="E6" s="191"/>
      <c r="F6" s="191"/>
      <c r="G6" s="191"/>
      <c r="H6" s="191"/>
      <c r="I6" s="191"/>
      <c r="J6" s="19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1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3"/>
      <c r="H11" s="1"/>
      <c r="I11" s="1"/>
      <c r="J11" s="1"/>
      <c r="K11" s="1"/>
      <c r="L11" s="1"/>
    </row>
    <row r="12" spans="2:12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F13" s="1"/>
      <c r="G13" s="1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90"/>
      <c r="F14" s="1"/>
      <c r="G14" s="4"/>
      <c r="H14" s="1"/>
      <c r="I14" s="1"/>
      <c r="J14" s="1"/>
      <c r="K14" s="1"/>
      <c r="L14" s="1"/>
    </row>
    <row r="15" spans="2:12" x14ac:dyDescent="0.2">
      <c r="B15" s="40">
        <f>+D32</f>
        <v>1932.3671497584542</v>
      </c>
      <c r="C15" s="1"/>
      <c r="D15" s="1"/>
      <c r="E15" s="1"/>
      <c r="F15" s="1"/>
      <c r="G15" s="1"/>
      <c r="H15" s="1"/>
      <c r="I15" s="60"/>
      <c r="J15" s="1"/>
      <c r="K15" s="5">
        <f>+D34</f>
        <v>2234.3671497584542</v>
      </c>
      <c r="L15" s="1"/>
    </row>
    <row r="16" spans="2:12" ht="32" x14ac:dyDescent="0.2">
      <c r="B16" s="1"/>
      <c r="C16" s="1"/>
      <c r="D16" s="1"/>
      <c r="E16" s="1"/>
      <c r="F16" s="1"/>
      <c r="G16" s="544">
        <f>+D35</f>
        <v>4442.3015207733943</v>
      </c>
      <c r="H16" s="1"/>
      <c r="I16" s="90"/>
      <c r="J16" s="1"/>
      <c r="K16" s="3"/>
      <c r="L16" s="1"/>
    </row>
    <row r="17" spans="2:15" x14ac:dyDescent="0.2">
      <c r="B17" s="1"/>
      <c r="C17" s="1"/>
      <c r="D17" s="1"/>
      <c r="E17" s="1"/>
      <c r="F17" s="1"/>
      <c r="G17" s="90"/>
      <c r="H17" s="1"/>
      <c r="I17" s="1"/>
      <c r="J17" s="1"/>
      <c r="K17" s="1"/>
      <c r="L17" s="1"/>
    </row>
    <row r="18" spans="2:15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5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5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5" x14ac:dyDescent="0.2">
      <c r="B21" s="1"/>
      <c r="C21" s="1"/>
      <c r="D21" s="1"/>
      <c r="E21" s="1"/>
      <c r="F21" s="62"/>
      <c r="G21" s="1"/>
      <c r="H21" s="1"/>
      <c r="I21" s="1"/>
      <c r="J21" s="1"/>
      <c r="K21" s="1"/>
      <c r="L21" s="1"/>
    </row>
    <row r="22" spans="2:15" x14ac:dyDescent="0.2">
      <c r="B22" s="1"/>
      <c r="C22" s="1"/>
      <c r="D22" s="1"/>
      <c r="E22" s="1"/>
      <c r="F22" s="3"/>
      <c r="G22" s="1"/>
      <c r="H22" s="1"/>
      <c r="I22" s="1"/>
      <c r="J22" s="1"/>
      <c r="K22" s="1"/>
      <c r="L22" s="1"/>
    </row>
    <row r="23" spans="2:15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5" x14ac:dyDescent="0.2">
      <c r="B24" s="1"/>
      <c r="C24" s="1"/>
      <c r="D24" s="1"/>
      <c r="E24" s="1"/>
      <c r="F24" s="1"/>
      <c r="G24" s="1"/>
      <c r="H24" s="1"/>
      <c r="I24" s="1"/>
      <c r="J24" s="191"/>
      <c r="K24" s="1"/>
      <c r="L24" s="1"/>
    </row>
    <row r="25" spans="2:15" x14ac:dyDescent="0.2">
      <c r="B25" s="1"/>
      <c r="C25" s="191"/>
      <c r="D25" s="191"/>
      <c r="E25" s="191"/>
      <c r="F25" s="191"/>
      <c r="G25" s="191"/>
      <c r="H25" s="191"/>
      <c r="I25" s="191"/>
      <c r="J25" s="191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60">
        <f>+D36</f>
        <v>147</v>
      </c>
    </row>
    <row r="28" spans="2:15" x14ac:dyDescent="0.2">
      <c r="B28" s="1"/>
      <c r="C28" s="1"/>
      <c r="D28" s="1"/>
      <c r="E28" s="1"/>
      <c r="F28" s="30">
        <f>+D33</f>
        <v>4261</v>
      </c>
      <c r="G28" s="1"/>
      <c r="H28" s="1"/>
      <c r="I28" s="1"/>
      <c r="J28" s="1"/>
      <c r="K28" s="1"/>
      <c r="L28" s="90"/>
    </row>
    <row r="29" spans="2:15" ht="16" thickBot="1" x14ac:dyDescent="0.25">
      <c r="B29" s="1"/>
      <c r="C29" s="1"/>
      <c r="D29" s="1"/>
      <c r="E29" s="1"/>
      <c r="F29" s="90"/>
      <c r="G29" s="1"/>
      <c r="H29" s="1"/>
      <c r="I29" s="1"/>
      <c r="J29" s="1"/>
      <c r="K29" s="1"/>
      <c r="L29" s="1"/>
    </row>
    <row r="30" spans="2:15" ht="18" customHeight="1" x14ac:dyDescent="0.2">
      <c r="B30" s="6"/>
      <c r="C30" s="7" t="s">
        <v>3</v>
      </c>
      <c r="D30" s="156" t="s">
        <v>4</v>
      </c>
      <c r="E30" s="9" t="s">
        <v>5</v>
      </c>
      <c r="F30" s="583" t="str">
        <f>IF(D32&lt;=2800,"Enlightor NEO","Enlightor NEO-W")</f>
        <v>Enlightor NEO</v>
      </c>
      <c r="G30" s="584"/>
      <c r="H30" s="9" t="s">
        <v>6</v>
      </c>
      <c r="I30" s="585">
        <f ca="1">NOW()</f>
        <v>46062.500802662034</v>
      </c>
      <c r="J30" s="585"/>
      <c r="K30" s="585"/>
      <c r="L30" s="586"/>
    </row>
    <row r="31" spans="2:15" ht="40" customHeight="1" x14ac:dyDescent="0.2">
      <c r="B31" s="150" t="s">
        <v>7</v>
      </c>
      <c r="C31" s="106">
        <f t="shared" ref="C31:C36" si="0">+D31/$F$36</f>
        <v>157.48031496062993</v>
      </c>
      <c r="D31" s="269">
        <v>4000</v>
      </c>
      <c r="E31" s="152" t="s">
        <v>8</v>
      </c>
      <c r="F31" s="587">
        <v>2.0699999999999998</v>
      </c>
      <c r="G31" s="588"/>
      <c r="H31" s="153" t="s">
        <v>9</v>
      </c>
      <c r="I31" s="626"/>
      <c r="J31" s="626"/>
      <c r="K31" s="626"/>
      <c r="L31" s="627"/>
      <c r="O31" s="190"/>
    </row>
    <row r="32" spans="2:15" ht="40" customHeight="1" x14ac:dyDescent="0.2">
      <c r="B32" s="10" t="s">
        <v>10</v>
      </c>
      <c r="C32" s="22">
        <f t="shared" si="0"/>
        <v>76.077446840884022</v>
      </c>
      <c r="D32" s="121">
        <f>+D31/F31</f>
        <v>1932.3671497584542</v>
      </c>
      <c r="E32" s="12" t="s">
        <v>11</v>
      </c>
      <c r="F32" s="723" t="s">
        <v>132</v>
      </c>
      <c r="G32" s="724"/>
      <c r="H32" s="12" t="s">
        <v>13</v>
      </c>
      <c r="I32" s="619"/>
      <c r="J32" s="620"/>
      <c r="K32" s="620"/>
      <c r="L32" s="621"/>
    </row>
    <row r="33" spans="2:12" ht="18" customHeight="1" x14ac:dyDescent="0.2">
      <c r="B33" s="10" t="s">
        <v>14</v>
      </c>
      <c r="C33" s="22">
        <f t="shared" si="0"/>
        <v>167.75590551181102</v>
      </c>
      <c r="D33" s="124">
        <f>+D31+(2*F35)+15</f>
        <v>4261</v>
      </c>
      <c r="E33" s="12" t="s">
        <v>100</v>
      </c>
      <c r="F33" s="174"/>
      <c r="G33" s="1" t="s">
        <v>16</v>
      </c>
      <c r="H33" s="1"/>
      <c r="I33" s="1"/>
      <c r="J33" s="1"/>
      <c r="K33" s="1"/>
      <c r="L33" s="15"/>
    </row>
    <row r="34" spans="2:12" ht="40" customHeight="1" x14ac:dyDescent="0.2">
      <c r="B34" s="10" t="s">
        <v>18</v>
      </c>
      <c r="C34" s="22">
        <f t="shared" si="0"/>
        <v>87.967210620411592</v>
      </c>
      <c r="D34" s="124">
        <f>+D32+(2*F35)+56</f>
        <v>2234.3671497584542</v>
      </c>
      <c r="E34" s="12" t="s">
        <v>19</v>
      </c>
      <c r="F34" s="460" t="s">
        <v>76</v>
      </c>
      <c r="G34" s="16"/>
      <c r="H34" s="1"/>
      <c r="I34" s="1"/>
      <c r="J34" s="1"/>
      <c r="K34" s="1"/>
      <c r="L34" s="15"/>
    </row>
    <row r="35" spans="2:12" ht="18" customHeight="1" x14ac:dyDescent="0.2">
      <c r="B35" s="10" t="s">
        <v>21</v>
      </c>
      <c r="C35" s="22">
        <f t="shared" si="0"/>
        <v>174.89376066036985</v>
      </c>
      <c r="D35" s="124">
        <f>SQRT((D31^2)+(D32^2))</f>
        <v>4442.3015207733943</v>
      </c>
      <c r="E35" s="12" t="s">
        <v>22</v>
      </c>
      <c r="F35" s="128">
        <v>123</v>
      </c>
      <c r="G35" s="16"/>
      <c r="H35" s="1"/>
      <c r="I35" s="1"/>
      <c r="J35" s="1"/>
      <c r="K35" s="1"/>
      <c r="L35" s="15"/>
    </row>
    <row r="36" spans="2:12" ht="18" customHeight="1" thickBot="1" x14ac:dyDescent="0.25">
      <c r="B36" s="17" t="s">
        <v>23</v>
      </c>
      <c r="C36" s="25">
        <f t="shared" si="0"/>
        <v>5.78740157480315</v>
      </c>
      <c r="D36" s="130">
        <v>147</v>
      </c>
      <c r="E36" s="18" t="s">
        <v>24</v>
      </c>
      <c r="F36" s="132">
        <v>25.4</v>
      </c>
      <c r="G36" s="19"/>
      <c r="H36" s="19"/>
      <c r="I36" s="19"/>
      <c r="J36" s="19"/>
      <c r="K36" s="731" t="s">
        <v>67</v>
      </c>
      <c r="L36" s="732"/>
    </row>
    <row r="37" spans="2:12" ht="18" customHeight="1" thickBo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8" customHeight="1" thickBot="1" x14ac:dyDescent="0.25">
      <c r="B38" s="205"/>
      <c r="C38" s="207"/>
      <c r="D38" s="207"/>
      <c r="E38" s="207"/>
      <c r="F38" s="207"/>
      <c r="G38" s="207"/>
      <c r="H38" s="207"/>
      <c r="I38" s="207"/>
      <c r="J38" s="207"/>
      <c r="K38" s="207"/>
      <c r="L38" s="208"/>
    </row>
    <row r="39" spans="2:12" ht="18" customHeight="1" thickBot="1" x14ac:dyDescent="0.25">
      <c r="B39" s="608" t="s">
        <v>169</v>
      </c>
      <c r="C39" s="1"/>
      <c r="D39" s="1"/>
      <c r="E39" s="1"/>
      <c r="F39" s="1"/>
      <c r="G39" s="1"/>
      <c r="H39" s="1"/>
      <c r="I39" s="1"/>
      <c r="J39" s="1"/>
      <c r="K39" s="1"/>
      <c r="L39" s="15"/>
    </row>
    <row r="40" spans="2:12" ht="18" customHeight="1" thickBot="1" x14ac:dyDescent="0.25">
      <c r="B40" s="609"/>
      <c r="C40" s="1" t="s">
        <v>177</v>
      </c>
      <c r="D40" s="83"/>
      <c r="E40" s="342" t="s">
        <v>231</v>
      </c>
      <c r="F40" s="1"/>
      <c r="G40" s="1"/>
      <c r="H40" s="1"/>
      <c r="I40" s="1"/>
      <c r="J40" s="1"/>
      <c r="K40" s="1"/>
      <c r="L40" s="15"/>
    </row>
    <row r="41" spans="2:12" ht="18" customHeight="1" thickBot="1" x14ac:dyDescent="0.25">
      <c r="B41" s="610"/>
      <c r="C41" s="1" t="s">
        <v>178</v>
      </c>
      <c r="D41" s="83"/>
      <c r="E41" s="342"/>
      <c r="F41" s="31"/>
      <c r="G41" s="31"/>
      <c r="H41" s="214"/>
      <c r="I41" s="1"/>
      <c r="J41" s="1"/>
      <c r="K41" s="1"/>
      <c r="L41" s="15"/>
    </row>
    <row r="42" spans="2:12" ht="18" customHeight="1" x14ac:dyDescent="0.2">
      <c r="B42" s="467"/>
      <c r="C42" s="1"/>
      <c r="D42" s="83"/>
      <c r="E42" s="422"/>
      <c r="F42" s="31"/>
      <c r="G42" s="31"/>
      <c r="H42" s="214"/>
      <c r="I42" s="1"/>
      <c r="J42" s="1"/>
      <c r="K42" s="1"/>
      <c r="L42" s="15"/>
    </row>
    <row r="43" spans="2:12" ht="18" customHeight="1" x14ac:dyDescent="0.2">
      <c r="B43" s="209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15"/>
    </row>
    <row r="44" spans="2:12" ht="18" customHeight="1" x14ac:dyDescent="0.2">
      <c r="B44" s="225"/>
      <c r="C44" s="54"/>
      <c r="D44" s="1"/>
      <c r="E44" s="1"/>
      <c r="F44" s="1"/>
      <c r="G44" s="1"/>
      <c r="H44" s="1"/>
      <c r="I44" s="1"/>
      <c r="J44" s="1"/>
      <c r="K44" s="1"/>
      <c r="L44" s="15"/>
    </row>
    <row r="45" spans="2:12" ht="18" customHeight="1" x14ac:dyDescent="0.2">
      <c r="B45" s="209"/>
      <c r="C45" s="54" t="s">
        <v>26</v>
      </c>
      <c r="D45" s="1"/>
      <c r="E45" s="641" t="s">
        <v>27</v>
      </c>
      <c r="F45" s="641"/>
      <c r="G45" s="56" t="s">
        <v>3</v>
      </c>
      <c r="H45" s="56" t="s">
        <v>4</v>
      </c>
      <c r="I45" s="1"/>
      <c r="J45" s="1"/>
      <c r="K45" s="1"/>
      <c r="L45" s="15"/>
    </row>
    <row r="46" spans="2:12" ht="18" customHeight="1" x14ac:dyDescent="0.2">
      <c r="B46" s="209"/>
      <c r="C46" s="143" t="s">
        <v>28</v>
      </c>
      <c r="D46" s="143"/>
      <c r="E46" s="12"/>
      <c r="F46" s="323">
        <v>2.0699999999999998</v>
      </c>
      <c r="G46" s="144">
        <v>236</v>
      </c>
      <c r="H46" s="431">
        <f>G46*25.4</f>
        <v>5994.4</v>
      </c>
      <c r="I46" s="1"/>
      <c r="J46" s="1"/>
      <c r="K46" s="1"/>
      <c r="L46" s="15"/>
    </row>
    <row r="47" spans="2:12" ht="18" customHeight="1" x14ac:dyDescent="0.2">
      <c r="B47" s="209"/>
      <c r="C47" s="143" t="s">
        <v>165</v>
      </c>
      <c r="D47" s="143"/>
      <c r="E47" s="495"/>
      <c r="F47" s="543">
        <v>2.0699999999999998</v>
      </c>
      <c r="G47" s="497">
        <v>130</v>
      </c>
      <c r="H47" s="431">
        <f>G47*25.4</f>
        <v>3302</v>
      </c>
      <c r="I47" s="1"/>
      <c r="J47" s="1"/>
      <c r="K47" s="1"/>
      <c r="L47" s="15"/>
    </row>
    <row r="48" spans="2:12" ht="18" customHeight="1" x14ac:dyDescent="0.2">
      <c r="B48" s="209"/>
      <c r="C48" s="1"/>
      <c r="D48" s="1"/>
      <c r="E48" s="1"/>
      <c r="F48" s="1"/>
      <c r="G48" s="1"/>
      <c r="H48" s="1"/>
      <c r="I48" s="1"/>
      <c r="J48" s="1"/>
      <c r="K48" s="1"/>
      <c r="L48" s="15"/>
    </row>
    <row r="49" spans="2:15" ht="18" customHeight="1" x14ac:dyDescent="0.2">
      <c r="B49" s="209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5" ht="18" customHeight="1" x14ac:dyDescent="0.2">
      <c r="B50" s="225"/>
      <c r="C50" s="1" t="s">
        <v>111</v>
      </c>
      <c r="D50" s="1"/>
      <c r="E50" s="1"/>
      <c r="F50" s="1"/>
      <c r="G50" s="1"/>
      <c r="H50" s="1"/>
      <c r="I50" s="1"/>
      <c r="J50" s="1"/>
      <c r="K50" s="1"/>
      <c r="L50" s="15"/>
    </row>
    <row r="51" spans="2:15" ht="18" customHeight="1" x14ac:dyDescent="0.2">
      <c r="B51" s="209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5" ht="18" customHeight="1" x14ac:dyDescent="0.2">
      <c r="B52" s="209"/>
      <c r="C52" s="50" t="s">
        <v>36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5" ht="18" customHeight="1" x14ac:dyDescent="0.2">
      <c r="B53" s="225"/>
      <c r="C53" s="1" t="s">
        <v>133</v>
      </c>
      <c r="D53" s="1"/>
      <c r="E53" s="1"/>
      <c r="F53" s="1"/>
      <c r="G53" s="1"/>
      <c r="H53" s="1"/>
      <c r="I53" s="1"/>
      <c r="J53" s="1"/>
      <c r="K53" s="1"/>
      <c r="L53" s="15"/>
    </row>
    <row r="54" spans="2:15" ht="18" customHeight="1" x14ac:dyDescent="0.2">
      <c r="B54" s="209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5" ht="18" customHeight="1" thickBot="1" x14ac:dyDescent="0.25">
      <c r="B55" s="209"/>
      <c r="C55" s="144" t="s">
        <v>108</v>
      </c>
      <c r="D55" s="497">
        <v>1</v>
      </c>
      <c r="E55" s="144"/>
      <c r="F55" s="143"/>
      <c r="G55" s="1"/>
      <c r="H55" s="1"/>
      <c r="I55" s="1"/>
      <c r="J55" s="1"/>
      <c r="K55" s="1"/>
      <c r="L55" s="15"/>
    </row>
    <row r="56" spans="2:15" ht="18" customHeight="1" thickBot="1" x14ac:dyDescent="0.25">
      <c r="B56" s="209"/>
      <c r="C56" s="144" t="s">
        <v>39</v>
      </c>
      <c r="D56" s="174">
        <f>+(D33)+200</f>
        <v>4461</v>
      </c>
      <c r="E56" s="144" t="s">
        <v>4</v>
      </c>
      <c r="F56" s="143" t="s">
        <v>40</v>
      </c>
      <c r="G56" s="1"/>
      <c r="H56" s="1"/>
      <c r="I56" s="1"/>
      <c r="J56" s="1"/>
      <c r="K56" s="1"/>
      <c r="L56" s="15"/>
      <c r="O56" s="538"/>
    </row>
    <row r="57" spans="2:15" ht="18" customHeight="1" x14ac:dyDescent="0.2">
      <c r="B57" s="209"/>
      <c r="C57" s="144" t="s">
        <v>41</v>
      </c>
      <c r="D57" s="174">
        <f>(D34)+100</f>
        <v>2334.3671497584542</v>
      </c>
      <c r="E57" s="144" t="s">
        <v>4</v>
      </c>
      <c r="F57" s="143" t="s">
        <v>40</v>
      </c>
      <c r="G57" s="1"/>
      <c r="H57" s="1"/>
      <c r="I57" s="1"/>
      <c r="J57" s="1"/>
      <c r="K57" s="1"/>
      <c r="L57" s="15"/>
    </row>
    <row r="58" spans="2:15" ht="18" customHeight="1" x14ac:dyDescent="0.2">
      <c r="B58" s="209"/>
      <c r="C58" s="144" t="s">
        <v>81</v>
      </c>
      <c r="D58" s="174">
        <v>370</v>
      </c>
      <c r="E58" s="144" t="s">
        <v>4</v>
      </c>
      <c r="F58" s="143" t="s">
        <v>40</v>
      </c>
      <c r="G58" s="1"/>
      <c r="H58" s="1"/>
      <c r="I58" s="1"/>
      <c r="J58" s="1"/>
      <c r="K58" s="1"/>
      <c r="L58" s="15"/>
    </row>
    <row r="59" spans="2:15" ht="18" customHeight="1" x14ac:dyDescent="0.2">
      <c r="B59" s="209"/>
      <c r="C59" s="144" t="s">
        <v>43</v>
      </c>
      <c r="D59" s="532">
        <f>IF(C31&lt;140,C31*1.35,C31*1.35)</f>
        <v>212.5984251968504</v>
      </c>
      <c r="E59" s="144" t="s">
        <v>44</v>
      </c>
      <c r="F59" s="143" t="s">
        <v>45</v>
      </c>
      <c r="G59" s="1"/>
      <c r="H59" s="1"/>
      <c r="I59" s="1"/>
      <c r="J59" s="1"/>
      <c r="K59" s="1"/>
      <c r="L59" s="15"/>
    </row>
    <row r="60" spans="2:15" ht="18" customHeight="1" thickBot="1" x14ac:dyDescent="0.25">
      <c r="B60" s="217"/>
      <c r="C60" s="19"/>
      <c r="D60" s="19"/>
      <c r="E60" s="19"/>
      <c r="F60" s="19"/>
      <c r="G60" s="19"/>
      <c r="H60" s="19"/>
      <c r="I60" s="19"/>
      <c r="J60" s="19"/>
      <c r="K60" s="19"/>
      <c r="L60" s="28"/>
    </row>
    <row r="61" spans="2:15" ht="18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5" ht="18" customHeight="1" x14ac:dyDescent="0.2"/>
    <row r="63" spans="2:15" ht="18" customHeight="1" x14ac:dyDescent="0.2"/>
    <row r="64" spans="2:15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</sheetData>
  <sheetProtection algorithmName="SHA-512" hashValue="bkalxXKKb+cIVe+QaI2h6u44Zz0FrmDMiRYBk+hnsBqAPnRcXoYrBXzw0XCEjFhSJL53giMy4q11h1gta5iRcA==" saltValue="tRwF3laeERBvkCeesRe4Ww==" spinCount="100000" sheet="1" objects="1" scenarios="1"/>
  <mergeCells count="11">
    <mergeCell ref="F32:G32"/>
    <mergeCell ref="I32:L32"/>
    <mergeCell ref="E45:F45"/>
    <mergeCell ref="B2:L2"/>
    <mergeCell ref="B3:L3"/>
    <mergeCell ref="F30:G30"/>
    <mergeCell ref="I30:L30"/>
    <mergeCell ref="F31:G31"/>
    <mergeCell ref="I31:L31"/>
    <mergeCell ref="K36:L36"/>
    <mergeCell ref="B39:B41"/>
  </mergeCells>
  <printOptions horizontalCentered="1" verticalCentered="1"/>
  <pageMargins left="0.39000000000000007" right="0.39000000000000007" top="0.39000000000000007" bottom="0.39000000000000007" header="0" footer="0"/>
  <pageSetup paperSize="9" scale="69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D75-4189-5F4B-BD3F-95DA73EE92DD}">
  <dimension ref="B2:K26"/>
  <sheetViews>
    <sheetView workbookViewId="0">
      <selection activeCell="C7" sqref="C7"/>
    </sheetView>
  </sheetViews>
  <sheetFormatPr baseColWidth="10" defaultRowHeight="16" x14ac:dyDescent="0.2"/>
  <cols>
    <col min="1" max="1" width="7" customWidth="1"/>
    <col min="2" max="2" width="10.33203125" customWidth="1"/>
    <col min="3" max="3" width="16.83203125" customWidth="1"/>
    <col min="4" max="4" width="13" style="293" customWidth="1"/>
    <col min="5" max="5" width="10.83203125" style="293"/>
    <col min="6" max="6" width="11.83203125" style="293" customWidth="1"/>
    <col min="7" max="8" width="10.83203125" style="293"/>
    <col min="9" max="9" width="15.6640625" customWidth="1"/>
    <col min="10" max="10" width="16.33203125" customWidth="1"/>
    <col min="11" max="11" width="15.1640625" style="292" customWidth="1"/>
  </cols>
  <sheetData>
    <row r="2" spans="2:10" ht="17" thickBot="1" x14ac:dyDescent="0.25"/>
    <row r="3" spans="2:10" ht="25" customHeight="1" x14ac:dyDescent="0.2">
      <c r="B3" s="295" t="s">
        <v>170</v>
      </c>
      <c r="C3" s="303" t="s">
        <v>171</v>
      </c>
      <c r="D3" s="296" t="s">
        <v>172</v>
      </c>
      <c r="E3" s="296" t="s">
        <v>173</v>
      </c>
      <c r="F3" s="304" t="s">
        <v>174</v>
      </c>
      <c r="G3" s="304" t="s">
        <v>175</v>
      </c>
      <c r="H3" s="305" t="s">
        <v>176</v>
      </c>
      <c r="I3" s="293"/>
      <c r="J3" s="293"/>
    </row>
    <row r="4" spans="2:10" ht="25" customHeight="1" x14ac:dyDescent="0.2">
      <c r="B4" s="297">
        <v>1.78</v>
      </c>
      <c r="C4" s="343">
        <v>120</v>
      </c>
      <c r="D4" s="306">
        <f>C4/SQRT(1.78^2+1)</f>
        <v>58.775529787768292</v>
      </c>
      <c r="E4" s="306">
        <f>1.78*D4</f>
        <v>104.62044302222756</v>
      </c>
      <c r="F4" s="307">
        <f>C4*2.54*10</f>
        <v>3048</v>
      </c>
      <c r="G4" s="307">
        <f>F4/SQRT(1.78^2+1)</f>
        <v>1492.8984566093145</v>
      </c>
      <c r="H4" s="308">
        <f>1.78*G4</f>
        <v>2657.3592527645797</v>
      </c>
      <c r="I4" s="293"/>
      <c r="J4" s="293"/>
    </row>
    <row r="5" spans="2:10" ht="25" customHeight="1" x14ac:dyDescent="0.2">
      <c r="B5" s="298"/>
      <c r="C5" s="344"/>
      <c r="D5" s="306"/>
      <c r="E5" s="306"/>
      <c r="F5" s="307"/>
      <c r="G5" s="307"/>
      <c r="H5" s="308"/>
      <c r="I5" s="294"/>
    </row>
    <row r="6" spans="2:10" ht="25" customHeight="1" x14ac:dyDescent="0.2">
      <c r="B6" s="299">
        <v>2.35</v>
      </c>
      <c r="C6" s="343">
        <v>250</v>
      </c>
      <c r="D6" s="306">
        <f t="shared" ref="D6" si="0">C6/SQRT(2.35^2+1)</f>
        <v>97.888791024316845</v>
      </c>
      <c r="E6" s="306">
        <f>2.35*D6</f>
        <v>230.03865890714459</v>
      </c>
      <c r="F6" s="307">
        <f>C6*2.54*10</f>
        <v>6350</v>
      </c>
      <c r="G6" s="307">
        <f t="shared" ref="G6" si="1">F6/SQRT(2.35^2+1)</f>
        <v>2486.375292017648</v>
      </c>
      <c r="H6" s="308">
        <f t="shared" ref="H6" si="2">2.35*G6</f>
        <v>5842.9819362414728</v>
      </c>
      <c r="I6" s="294"/>
    </row>
    <row r="7" spans="2:10" ht="25" customHeight="1" x14ac:dyDescent="0.2">
      <c r="B7" s="300"/>
      <c r="C7" s="345"/>
      <c r="D7" s="309"/>
      <c r="E7" s="309"/>
      <c r="F7" s="310"/>
      <c r="G7" s="310"/>
      <c r="H7" s="311"/>
    </row>
    <row r="8" spans="2:10" ht="25" customHeight="1" x14ac:dyDescent="0.2">
      <c r="B8" s="299">
        <v>2.37</v>
      </c>
      <c r="C8" s="343">
        <v>125</v>
      </c>
      <c r="D8" s="306">
        <f>C8/SQRT(2.37^2+1)</f>
        <v>48.594008729617599</v>
      </c>
      <c r="E8" s="306">
        <f>2.37*D8</f>
        <v>115.16780068919371</v>
      </c>
      <c r="F8" s="307">
        <f>C8*2.54*10</f>
        <v>3175</v>
      </c>
      <c r="G8" s="307">
        <f>F8/SQRT(2.37^2+1)</f>
        <v>1234.2878217322871</v>
      </c>
      <c r="H8" s="308">
        <f>2.37*G8</f>
        <v>2925.2621375055205</v>
      </c>
    </row>
    <row r="9" spans="2:10" ht="25" customHeight="1" x14ac:dyDescent="0.2">
      <c r="B9" s="300"/>
      <c r="C9" s="345"/>
      <c r="D9" s="309"/>
      <c r="E9" s="309"/>
      <c r="F9" s="310"/>
      <c r="G9" s="310"/>
      <c r="H9" s="311"/>
    </row>
    <row r="10" spans="2:10" ht="25" customHeight="1" x14ac:dyDescent="0.2">
      <c r="B10" s="299">
        <v>2.39</v>
      </c>
      <c r="C10" s="343">
        <v>112</v>
      </c>
      <c r="D10" s="306">
        <f>C10/SQRT(2.39^2+1)</f>
        <v>43.230356162376161</v>
      </c>
      <c r="E10" s="306">
        <f>2.39*D10</f>
        <v>103.32055122807903</v>
      </c>
      <c r="F10" s="307">
        <f>C10*2.54*10</f>
        <v>2844.8</v>
      </c>
      <c r="G10" s="307">
        <f>F10/SQRT(2.39^2+1)</f>
        <v>1098.0510465243547</v>
      </c>
      <c r="H10" s="308">
        <f>2.39*G10</f>
        <v>2624.3420011932076</v>
      </c>
    </row>
    <row r="11" spans="2:10" ht="25" customHeight="1" x14ac:dyDescent="0.2">
      <c r="B11" s="300"/>
      <c r="C11" s="345"/>
      <c r="D11" s="309"/>
      <c r="E11" s="309"/>
      <c r="F11" s="310"/>
      <c r="G11" s="310"/>
      <c r="H11" s="311"/>
    </row>
    <row r="12" spans="2:10" ht="25" customHeight="1" thickBot="1" x14ac:dyDescent="0.25">
      <c r="B12" s="301">
        <v>2.4</v>
      </c>
      <c r="C12" s="346">
        <v>250</v>
      </c>
      <c r="D12" s="312">
        <f>C12/SQRT(2.4^2+1)</f>
        <v>96.153846153846146</v>
      </c>
      <c r="E12" s="312">
        <f>2.4*D12</f>
        <v>230.76923076923075</v>
      </c>
      <c r="F12" s="313">
        <f>C12*2.54*10</f>
        <v>6350</v>
      </c>
      <c r="G12" s="313">
        <f>F12/SQRT(2.4^2+1)</f>
        <v>2442.3076923076924</v>
      </c>
      <c r="H12" s="314">
        <f>2.4*G12</f>
        <v>5861.5384615384619</v>
      </c>
      <c r="I12" s="294"/>
    </row>
    <row r="13" spans="2:10" x14ac:dyDescent="0.2">
      <c r="I13" s="294"/>
    </row>
    <row r="14" spans="2:10" x14ac:dyDescent="0.2">
      <c r="I14" s="294"/>
    </row>
    <row r="15" spans="2:10" x14ac:dyDescent="0.2">
      <c r="I15" s="294"/>
    </row>
    <row r="16" spans="2:10" x14ac:dyDescent="0.2">
      <c r="I16" s="294"/>
    </row>
    <row r="17" spans="9:9" x14ac:dyDescent="0.2">
      <c r="I17" s="294"/>
    </row>
    <row r="18" spans="9:9" x14ac:dyDescent="0.2">
      <c r="I18" s="294"/>
    </row>
    <row r="19" spans="9:9" x14ac:dyDescent="0.2">
      <c r="I19" s="294"/>
    </row>
    <row r="20" spans="9:9" x14ac:dyDescent="0.2">
      <c r="I20" s="294"/>
    </row>
    <row r="21" spans="9:9" x14ac:dyDescent="0.2">
      <c r="I21" s="294"/>
    </row>
    <row r="22" spans="9:9" x14ac:dyDescent="0.2">
      <c r="I22" s="294"/>
    </row>
    <row r="23" spans="9:9" x14ac:dyDescent="0.2">
      <c r="I23" s="294"/>
    </row>
    <row r="24" spans="9:9" x14ac:dyDescent="0.2">
      <c r="I24" s="294"/>
    </row>
    <row r="25" spans="9:9" x14ac:dyDescent="0.2">
      <c r="I25" s="294"/>
    </row>
    <row r="26" spans="9:9" x14ac:dyDescent="0.2">
      <c r="I26" s="294"/>
    </row>
  </sheetData>
  <sheetProtection algorithmName="SHA-512" hashValue="mA2UkrP59yt5ai4e3ya9W5kLG0lYv4u7emMMPKB4KZroHEksjV+PiJKtYgdcgXigUMlP9GATYZmW4SXFI0QtBQ==" saltValue="eb0Bo8qHBzARzmReGGmW4A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B9DA-789E-7147-8E30-C69A7AD84AA7}">
  <sheetPr>
    <pageSetUpPr fitToPage="1"/>
  </sheetPr>
  <dimension ref="B1:L81"/>
  <sheetViews>
    <sheetView workbookViewId="0">
      <selection activeCell="K25" sqref="K25"/>
    </sheetView>
  </sheetViews>
  <sheetFormatPr baseColWidth="10" defaultColWidth="10.83203125" defaultRowHeight="15" x14ac:dyDescent="0.2"/>
  <cols>
    <col min="1" max="1" width="4.1640625" style="99" customWidth="1"/>
    <col min="2" max="2" width="10" style="99" customWidth="1"/>
    <col min="3" max="16384" width="10.83203125" style="99"/>
  </cols>
  <sheetData>
    <row r="1" spans="2:12" s="112" customFormat="1" ht="38" customHeight="1" x14ac:dyDescent="0.2">
      <c r="B1" s="581" t="s">
        <v>2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</row>
    <row r="2" spans="2:12" s="111" customFormat="1" ht="49" customHeight="1" x14ac:dyDescent="0.3">
      <c r="B2" s="582" t="str">
        <f>+ROUND(C30,1)&amp;""""&amp;" "&amp;ROUND(F30,2)&amp;" Aspect Ratio"</f>
        <v>130" 1,78 Aspect Ratio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</row>
    <row r="3" spans="2:12" s="112" customFormat="1" x14ac:dyDescent="0.2">
      <c r="G3" s="60">
        <f>F5</f>
        <v>3302</v>
      </c>
    </row>
    <row r="4" spans="2:12" s="112" customFormat="1" x14ac:dyDescent="0.2"/>
    <row r="5" spans="2:12" s="112" customFormat="1" x14ac:dyDescent="0.2">
      <c r="F5" s="201">
        <f>+D30</f>
        <v>3302</v>
      </c>
    </row>
    <row r="6" spans="2:12" s="112" customFormat="1" x14ac:dyDescent="0.2">
      <c r="F6" s="260">
        <f>+F5/$F$35</f>
        <v>130</v>
      </c>
    </row>
    <row r="7" spans="2:12" s="112" customFormat="1" x14ac:dyDescent="0.2"/>
    <row r="8" spans="2:12" s="112" customFormat="1" x14ac:dyDescent="0.2"/>
    <row r="9" spans="2:12" s="112" customFormat="1" x14ac:dyDescent="0.2"/>
    <row r="10" spans="2:12" s="112" customFormat="1" x14ac:dyDescent="0.2"/>
    <row r="11" spans="2:12" s="112" customFormat="1" x14ac:dyDescent="0.2">
      <c r="E11" s="60">
        <f>+D31</f>
        <v>1855.056179775281</v>
      </c>
    </row>
    <row r="12" spans="2:12" s="112" customFormat="1" x14ac:dyDescent="0.2">
      <c r="E12" s="229">
        <f>+E11/$F$35</f>
        <v>73.033707865168552</v>
      </c>
      <c r="G12" s="113"/>
    </row>
    <row r="13" spans="2:12" s="112" customFormat="1" x14ac:dyDescent="0.2">
      <c r="K13" s="5">
        <f>+D33</f>
        <v>1985.056179775281</v>
      </c>
    </row>
    <row r="14" spans="2:12" s="112" customFormat="1" ht="32" x14ac:dyDescent="0.2">
      <c r="G14" s="261">
        <f>+D34</f>
        <v>3787.4051050980088</v>
      </c>
      <c r="K14" s="227">
        <f>+K13/$F$35</f>
        <v>78.151818101389011</v>
      </c>
    </row>
    <row r="15" spans="2:12" s="112" customFormat="1" x14ac:dyDescent="0.2">
      <c r="G15" s="229">
        <f>+G14/$F$35</f>
        <v>149.11043720858302</v>
      </c>
    </row>
    <row r="16" spans="2:12" s="112" customFormat="1" x14ac:dyDescent="0.2"/>
    <row r="17" spans="2:12" s="112" customFormat="1" x14ac:dyDescent="0.2"/>
    <row r="18" spans="2:12" s="112" customFormat="1" x14ac:dyDescent="0.2"/>
    <row r="19" spans="2:12" s="112" customFormat="1" x14ac:dyDescent="0.2"/>
    <row r="20" spans="2:12" s="112" customFormat="1" x14ac:dyDescent="0.2"/>
    <row r="21" spans="2:12" s="112" customFormat="1" x14ac:dyDescent="0.2">
      <c r="F21" s="115"/>
    </row>
    <row r="22" spans="2:12" s="112" customFormat="1" x14ac:dyDescent="0.2"/>
    <row r="23" spans="2:12" s="112" customFormat="1" x14ac:dyDescent="0.2"/>
    <row r="24" spans="2:12" s="112" customFormat="1" x14ac:dyDescent="0.2"/>
    <row r="25" spans="2:12" s="112" customFormat="1" x14ac:dyDescent="0.2">
      <c r="L25" s="60">
        <f>+D35</f>
        <v>36</v>
      </c>
    </row>
    <row r="26" spans="2:12" s="112" customFormat="1" x14ac:dyDescent="0.2">
      <c r="F26" s="60">
        <f>+D32</f>
        <v>3432</v>
      </c>
      <c r="L26" s="90">
        <f>+L25/$F$35</f>
        <v>1.4173228346456694</v>
      </c>
    </row>
    <row r="27" spans="2:12" s="112" customFormat="1" x14ac:dyDescent="0.2">
      <c r="F27" s="3">
        <f>+F26/$F$35</f>
        <v>135.11811023622047</v>
      </c>
    </row>
    <row r="28" spans="2:12" s="112" customFormat="1" ht="16" thickBot="1" x14ac:dyDescent="0.25">
      <c r="F28" s="3"/>
    </row>
    <row r="29" spans="2:12" s="112" customFormat="1" x14ac:dyDescent="0.2">
      <c r="B29" s="116"/>
      <c r="C29" s="117" t="s">
        <v>3</v>
      </c>
      <c r="D29" s="118" t="s">
        <v>4</v>
      </c>
      <c r="E29" s="119"/>
      <c r="F29" s="583"/>
      <c r="G29" s="584"/>
      <c r="H29" s="119" t="s">
        <v>6</v>
      </c>
      <c r="I29" s="585">
        <f ca="1">NOW()</f>
        <v>46062.500802662034</v>
      </c>
      <c r="J29" s="585"/>
      <c r="K29" s="585"/>
      <c r="L29" s="586"/>
    </row>
    <row r="30" spans="2:12" s="264" customFormat="1" ht="40" customHeight="1" x14ac:dyDescent="0.2">
      <c r="B30" s="262" t="s">
        <v>7</v>
      </c>
      <c r="C30" s="232">
        <f t="shared" ref="C30:C35" si="0">+D30/$F$35</f>
        <v>130</v>
      </c>
      <c r="D30" s="290">
        <v>3302</v>
      </c>
      <c r="E30" s="291" t="s">
        <v>8</v>
      </c>
      <c r="F30" s="587">
        <v>1.78</v>
      </c>
      <c r="G30" s="588"/>
      <c r="H30" s="263" t="s">
        <v>9</v>
      </c>
      <c r="I30" s="589"/>
      <c r="J30" s="589"/>
      <c r="K30" s="589"/>
      <c r="L30" s="590"/>
    </row>
    <row r="31" spans="2:12" s="268" customFormat="1" ht="40" customHeight="1" x14ac:dyDescent="0.2">
      <c r="B31" s="266" t="s">
        <v>10</v>
      </c>
      <c r="C31" s="233">
        <f t="shared" si="0"/>
        <v>73.033707865168552</v>
      </c>
      <c r="D31" s="265">
        <f>D30/F30</f>
        <v>1855.056179775281</v>
      </c>
      <c r="E31" s="267" t="s">
        <v>11</v>
      </c>
      <c r="F31" s="591" t="s">
        <v>12</v>
      </c>
      <c r="G31" s="592"/>
      <c r="H31" s="267" t="s">
        <v>13</v>
      </c>
      <c r="I31" s="593"/>
      <c r="J31" s="594"/>
      <c r="K31" s="594"/>
      <c r="L31" s="595"/>
    </row>
    <row r="32" spans="2:12" s="112" customFormat="1" ht="18" customHeight="1" x14ac:dyDescent="0.2">
      <c r="B32" s="120" t="s">
        <v>14</v>
      </c>
      <c r="C32" s="22">
        <f t="shared" si="0"/>
        <v>135.11811023622047</v>
      </c>
      <c r="D32" s="124">
        <f>+D30+(2*F34)</f>
        <v>3432</v>
      </c>
      <c r="E32" s="122" t="s">
        <v>15</v>
      </c>
      <c r="F32" s="125" t="s">
        <v>12</v>
      </c>
      <c r="G32" s="112" t="s">
        <v>16</v>
      </c>
      <c r="L32" s="126" t="s">
        <v>17</v>
      </c>
    </row>
    <row r="33" spans="2:12" s="112" customFormat="1" ht="18" customHeight="1" x14ac:dyDescent="0.2">
      <c r="B33" s="120" t="s">
        <v>18</v>
      </c>
      <c r="C33" s="22">
        <f t="shared" si="0"/>
        <v>78.151818101389011</v>
      </c>
      <c r="D33" s="124">
        <f>+D31+(2*F34)</f>
        <v>1985.056179775281</v>
      </c>
      <c r="E33" s="122" t="s">
        <v>19</v>
      </c>
      <c r="F33" s="127" t="s">
        <v>12</v>
      </c>
      <c r="G33" s="596" t="s">
        <v>20</v>
      </c>
      <c r="H33" s="597"/>
      <c r="I33" s="597"/>
      <c r="J33" s="597"/>
      <c r="K33" s="597"/>
      <c r="L33" s="598"/>
    </row>
    <row r="34" spans="2:12" s="112" customFormat="1" ht="18" customHeight="1" x14ac:dyDescent="0.2">
      <c r="B34" s="120" t="s">
        <v>21</v>
      </c>
      <c r="C34" s="22">
        <f t="shared" si="0"/>
        <v>149.11043720858302</v>
      </c>
      <c r="D34" s="124">
        <f>SQRT((D30^2)+(D31^2))</f>
        <v>3787.4051050980088</v>
      </c>
      <c r="E34" s="122" t="s">
        <v>22</v>
      </c>
      <c r="F34" s="128">
        <v>65</v>
      </c>
      <c r="G34" s="596"/>
      <c r="H34" s="597"/>
      <c r="I34" s="597"/>
      <c r="J34" s="597"/>
      <c r="K34" s="597"/>
      <c r="L34" s="598"/>
    </row>
    <row r="35" spans="2:12" s="112" customFormat="1" ht="18" customHeight="1" thickBot="1" x14ac:dyDescent="0.25">
      <c r="B35" s="129" t="s">
        <v>23</v>
      </c>
      <c r="C35" s="25">
        <f t="shared" si="0"/>
        <v>1.4173228346456694</v>
      </c>
      <c r="D35" s="130">
        <f>IF(D30&lt;4572,36, IF(D30&lt;7624,80,100))</f>
        <v>36</v>
      </c>
      <c r="E35" s="131" t="s">
        <v>24</v>
      </c>
      <c r="F35" s="132">
        <v>25.4</v>
      </c>
      <c r="G35" s="599"/>
      <c r="H35" s="600"/>
      <c r="I35" s="600"/>
      <c r="J35" s="600"/>
      <c r="K35" s="600"/>
      <c r="L35" s="601"/>
    </row>
    <row r="36" spans="2:12" s="112" customFormat="1" x14ac:dyDescent="0.2"/>
    <row r="37" spans="2:12" s="1" customFormat="1" ht="16" customHeight="1" x14ac:dyDescent="0.2">
      <c r="C37" s="51" t="s">
        <v>164</v>
      </c>
    </row>
    <row r="38" spans="2:12" s="1" customFormat="1" ht="7" customHeight="1" thickBot="1" x14ac:dyDescent="0.25">
      <c r="C38" s="54"/>
    </row>
    <row r="39" spans="2:12" s="1" customFormat="1" ht="16" customHeight="1" thickBot="1" x14ac:dyDescent="0.25">
      <c r="B39" s="205"/>
      <c r="C39" s="207"/>
      <c r="D39" s="207"/>
      <c r="E39" s="602"/>
      <c r="F39" s="602"/>
      <c r="G39" s="206"/>
      <c r="H39" s="206"/>
      <c r="I39" s="207"/>
      <c r="J39" s="207"/>
      <c r="K39" s="207"/>
      <c r="L39" s="208"/>
    </row>
    <row r="40" spans="2:12" s="1" customFormat="1" ht="16" customHeight="1" thickBot="1" x14ac:dyDescent="0.25">
      <c r="B40" s="603" t="s">
        <v>169</v>
      </c>
      <c r="C40" s="606" t="s">
        <v>166</v>
      </c>
      <c r="D40" s="607"/>
      <c r="E40" s="552" t="s">
        <v>231</v>
      </c>
      <c r="F40" s="133"/>
      <c r="G40" s="52"/>
      <c r="H40" s="32"/>
      <c r="L40" s="15"/>
    </row>
    <row r="41" spans="2:12" s="1" customFormat="1" ht="16" customHeight="1" thickBot="1" x14ac:dyDescent="0.25">
      <c r="B41" s="604"/>
      <c r="C41" s="606" t="s">
        <v>167</v>
      </c>
      <c r="D41" s="607"/>
      <c r="E41" s="552"/>
      <c r="F41" s="133"/>
      <c r="G41" s="52"/>
      <c r="H41" s="32"/>
      <c r="L41" s="15"/>
    </row>
    <row r="42" spans="2:12" s="1" customFormat="1" ht="16" customHeight="1" thickBot="1" x14ac:dyDescent="0.25">
      <c r="B42" s="605"/>
      <c r="C42" s="606" t="s">
        <v>168</v>
      </c>
      <c r="D42" s="607"/>
      <c r="E42" s="552"/>
      <c r="F42" s="133"/>
      <c r="G42" s="52"/>
      <c r="H42" s="52"/>
      <c r="L42" s="15"/>
    </row>
    <row r="43" spans="2:12" s="112" customFormat="1" x14ac:dyDescent="0.2">
      <c r="B43" s="274"/>
      <c r="L43" s="275"/>
    </row>
    <row r="44" spans="2:12" s="112" customFormat="1" x14ac:dyDescent="0.2">
      <c r="B44" s="274"/>
      <c r="C44" s="138" t="s">
        <v>33</v>
      </c>
      <c r="D44" s="139"/>
      <c r="E44" s="139"/>
      <c r="F44" s="139"/>
      <c r="G44" s="139"/>
      <c r="H44" s="139"/>
      <c r="I44" s="139"/>
      <c r="J44" s="139"/>
      <c r="K44" s="139"/>
      <c r="L44" s="276"/>
    </row>
    <row r="45" spans="2:12" s="112" customFormat="1" x14ac:dyDescent="0.2">
      <c r="B45" s="277"/>
      <c r="C45" s="112" t="s">
        <v>34</v>
      </c>
      <c r="L45" s="275"/>
    </row>
    <row r="46" spans="2:12" s="112" customFormat="1" x14ac:dyDescent="0.2">
      <c r="B46" s="274"/>
      <c r="C46" s="112" t="s">
        <v>35</v>
      </c>
      <c r="L46" s="275"/>
    </row>
    <row r="47" spans="2:12" s="112" customFormat="1" x14ac:dyDescent="0.2">
      <c r="B47" s="274"/>
      <c r="L47" s="275"/>
    </row>
    <row r="48" spans="2:12" s="1" customFormat="1" x14ac:dyDescent="0.2">
      <c r="B48" s="209"/>
      <c r="C48" s="50" t="s">
        <v>36</v>
      </c>
      <c r="D48" s="55"/>
      <c r="E48" s="55"/>
      <c r="F48" s="55"/>
      <c r="G48" s="55" t="s">
        <v>37</v>
      </c>
      <c r="H48" s="55"/>
      <c r="I48" s="55"/>
      <c r="J48" s="55"/>
      <c r="K48" s="55"/>
      <c r="L48" s="215"/>
    </row>
    <row r="49" spans="2:12" s="1" customFormat="1" ht="10" customHeight="1" x14ac:dyDescent="0.2">
      <c r="B49" s="225"/>
      <c r="C49" s="51"/>
      <c r="L49" s="15"/>
    </row>
    <row r="50" spans="2:12" s="1" customFormat="1" ht="16" customHeight="1" x14ac:dyDescent="0.2">
      <c r="B50" s="209"/>
      <c r="C50" s="83" t="s">
        <v>38</v>
      </c>
      <c r="D50" s="64">
        <f>IF(C30&gt;199,2,1)</f>
        <v>1</v>
      </c>
      <c r="L50" s="15"/>
    </row>
    <row r="51" spans="2:12" s="1" customFormat="1" ht="16" customHeight="1" x14ac:dyDescent="0.2">
      <c r="B51" s="209"/>
      <c r="C51" s="220" t="s">
        <v>39</v>
      </c>
      <c r="D51" s="271">
        <f>IF(C30&gt;199, D33+350, D32/2+350)</f>
        <v>2066</v>
      </c>
      <c r="E51" s="143" t="s">
        <v>4</v>
      </c>
      <c r="F51" s="143" t="s">
        <v>40</v>
      </c>
      <c r="L51" s="15"/>
    </row>
    <row r="52" spans="2:12" s="1" customFormat="1" ht="16" customHeight="1" x14ac:dyDescent="0.2">
      <c r="B52" s="209"/>
      <c r="C52" s="220" t="s">
        <v>41</v>
      </c>
      <c r="D52" s="272">
        <v>250</v>
      </c>
      <c r="E52" s="143" t="s">
        <v>4</v>
      </c>
      <c r="F52" s="143" t="s">
        <v>40</v>
      </c>
      <c r="L52" s="15"/>
    </row>
    <row r="53" spans="2:12" s="1" customFormat="1" ht="16" customHeight="1" x14ac:dyDescent="0.2">
      <c r="B53" s="209"/>
      <c r="C53" s="220" t="s">
        <v>42</v>
      </c>
      <c r="D53" s="272">
        <v>200</v>
      </c>
      <c r="E53" s="143" t="s">
        <v>4</v>
      </c>
      <c r="F53" s="143" t="s">
        <v>40</v>
      </c>
      <c r="L53" s="15"/>
    </row>
    <row r="54" spans="2:12" s="1" customFormat="1" ht="16" customHeight="1" x14ac:dyDescent="0.2">
      <c r="B54" s="209"/>
      <c r="C54" s="220" t="s">
        <v>43</v>
      </c>
      <c r="D54" s="273">
        <f>IF(C30&lt;140,C30*0.235,C30*0.3)</f>
        <v>30.549999999999997</v>
      </c>
      <c r="E54" s="143" t="s">
        <v>44</v>
      </c>
      <c r="F54" s="143" t="s">
        <v>45</v>
      </c>
      <c r="L54" s="15"/>
    </row>
    <row r="55" spans="2:12" s="112" customFormat="1" ht="16" customHeight="1" thickBot="1" x14ac:dyDescent="0.25">
      <c r="B55" s="278"/>
      <c r="C55" s="279"/>
      <c r="D55" s="280"/>
      <c r="E55" s="280"/>
      <c r="F55" s="280"/>
      <c r="G55" s="280"/>
      <c r="H55" s="280"/>
      <c r="I55" s="280"/>
      <c r="J55" s="280"/>
      <c r="K55" s="280"/>
      <c r="L55" s="281"/>
    </row>
    <row r="56" spans="2:12" s="112" customFormat="1" x14ac:dyDescent="0.2">
      <c r="C56" s="140"/>
    </row>
    <row r="57" spans="2:12" s="112" customFormat="1" ht="16" thickBot="1" x14ac:dyDescent="0.25">
      <c r="C57" s="141"/>
      <c r="E57" s="142"/>
    </row>
    <row r="58" spans="2:12" s="112" customFormat="1" x14ac:dyDescent="0.2">
      <c r="B58" s="282"/>
      <c r="C58" s="283"/>
      <c r="D58" s="283"/>
      <c r="E58" s="283"/>
      <c r="F58" s="283"/>
      <c r="G58" s="283"/>
      <c r="H58" s="283"/>
      <c r="I58" s="283"/>
      <c r="J58" s="283"/>
      <c r="K58" s="283"/>
      <c r="L58" s="284"/>
    </row>
    <row r="59" spans="2:12" s="112" customFormat="1" x14ac:dyDescent="0.2">
      <c r="B59" s="274"/>
      <c r="L59" s="275"/>
    </row>
    <row r="60" spans="2:12" s="112" customFormat="1" x14ac:dyDescent="0.2">
      <c r="B60" s="274"/>
      <c r="L60" s="275"/>
    </row>
    <row r="61" spans="2:12" s="112" customFormat="1" x14ac:dyDescent="0.2">
      <c r="B61" s="274"/>
      <c r="L61" s="275"/>
    </row>
    <row r="62" spans="2:12" s="112" customFormat="1" x14ac:dyDescent="0.2">
      <c r="B62" s="274"/>
      <c r="L62" s="275"/>
    </row>
    <row r="63" spans="2:12" s="112" customFormat="1" x14ac:dyDescent="0.2">
      <c r="B63" s="274"/>
      <c r="L63" s="275"/>
    </row>
    <row r="64" spans="2:12" x14ac:dyDescent="0.2">
      <c r="B64" s="285"/>
      <c r="L64" s="286"/>
    </row>
    <row r="65" spans="2:12" x14ac:dyDescent="0.2">
      <c r="B65" s="285"/>
      <c r="L65" s="286"/>
    </row>
    <row r="66" spans="2:12" x14ac:dyDescent="0.2">
      <c r="B66" s="285"/>
      <c r="L66" s="286"/>
    </row>
    <row r="67" spans="2:12" x14ac:dyDescent="0.2">
      <c r="B67" s="285"/>
      <c r="L67" s="286"/>
    </row>
    <row r="68" spans="2:12" x14ac:dyDescent="0.2">
      <c r="B68" s="285"/>
      <c r="L68" s="286"/>
    </row>
    <row r="69" spans="2:12" x14ac:dyDescent="0.2">
      <c r="B69" s="285"/>
      <c r="L69" s="286"/>
    </row>
    <row r="70" spans="2:12" x14ac:dyDescent="0.2">
      <c r="B70" s="285"/>
      <c r="L70" s="286"/>
    </row>
    <row r="71" spans="2:12" x14ac:dyDescent="0.2">
      <c r="B71" s="285"/>
      <c r="L71" s="286"/>
    </row>
    <row r="72" spans="2:12" x14ac:dyDescent="0.2">
      <c r="B72" s="285"/>
      <c r="L72" s="286"/>
    </row>
    <row r="73" spans="2:12" x14ac:dyDescent="0.2">
      <c r="B73" s="285"/>
      <c r="L73" s="286"/>
    </row>
    <row r="74" spans="2:12" x14ac:dyDescent="0.2">
      <c r="B74" s="285"/>
      <c r="L74" s="286"/>
    </row>
    <row r="75" spans="2:12" x14ac:dyDescent="0.2">
      <c r="B75" s="285"/>
      <c r="L75" s="286"/>
    </row>
    <row r="76" spans="2:12" x14ac:dyDescent="0.2">
      <c r="B76" s="285"/>
      <c r="L76" s="286"/>
    </row>
    <row r="77" spans="2:12" x14ac:dyDescent="0.2">
      <c r="B77" s="285"/>
      <c r="L77" s="286"/>
    </row>
    <row r="78" spans="2:12" x14ac:dyDescent="0.2">
      <c r="B78" s="285"/>
      <c r="L78" s="286"/>
    </row>
    <row r="79" spans="2:12" x14ac:dyDescent="0.2">
      <c r="B79" s="285"/>
      <c r="L79" s="286"/>
    </row>
    <row r="80" spans="2:12" x14ac:dyDescent="0.2">
      <c r="B80" s="285"/>
      <c r="L80" s="286"/>
    </row>
    <row r="81" spans="2:12" ht="16" thickBot="1" x14ac:dyDescent="0.25"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9"/>
    </row>
  </sheetData>
  <sheetProtection algorithmName="SHA-512" hashValue="qpNNTtSD0VUW3OawEka1gv+KNDbAiemhHsQVXhu5GIlcQcGkBA4/B7ZPj99AymaldOo9y3w3/7v+yUZzUl9ueg==" saltValue="A3TYoAjKCcNzRvcCT9mS1A==" spinCount="100000" sheet="1" objects="1" scenarios="1"/>
  <mergeCells count="14">
    <mergeCell ref="F31:G31"/>
    <mergeCell ref="I31:L31"/>
    <mergeCell ref="G33:L35"/>
    <mergeCell ref="E39:F39"/>
    <mergeCell ref="B40:B42"/>
    <mergeCell ref="C40:D40"/>
    <mergeCell ref="C41:D41"/>
    <mergeCell ref="C42:D42"/>
    <mergeCell ref="B1:L1"/>
    <mergeCell ref="B2:L2"/>
    <mergeCell ref="F29:G29"/>
    <mergeCell ref="I29:L29"/>
    <mergeCell ref="F30:G30"/>
    <mergeCell ref="I30:L30"/>
  </mergeCells>
  <dataValidations count="2">
    <dataValidation type="custom" allowBlank="1" showInputMessage="1" showErrorMessage="1" sqref="M26" xr:uid="{B58251DF-A1D7-494B-84C3-08EE9F961649}">
      <formula1>"&lt;3557"</formula1>
    </dataValidation>
    <dataValidation type="decimal" showInputMessage="1" showErrorMessage="1" errorTitle="not available" sqref="D30" xr:uid="{63F60E4E-3EC5-564D-838A-D824DFCF0ECA}">
      <formula1>1000</formula1>
      <formula2>3557</formula2>
    </dataValidation>
  </dataValidations>
  <pageMargins left="0.7" right="0.7" top="0.75" bottom="0.75" header="0.3" footer="0.3"/>
  <pageSetup paperSize="9" scale="58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6"/>
  <sheetViews>
    <sheetView showGridLines="0" topLeftCell="A7" zoomScaleNormal="100" workbookViewId="0">
      <selection activeCell="M11" sqref="M11"/>
    </sheetView>
  </sheetViews>
  <sheetFormatPr baseColWidth="10" defaultColWidth="10.83203125" defaultRowHeight="15" x14ac:dyDescent="0.2"/>
  <cols>
    <col min="1" max="1" width="7.1640625" style="109" customWidth="1"/>
    <col min="2" max="2" width="13.83203125" style="109" customWidth="1"/>
    <col min="3" max="16384" width="10.83203125" style="109"/>
  </cols>
  <sheetData>
    <row r="1" spans="2:12" s="1" customFormat="1" ht="42" customHeight="1" x14ac:dyDescent="0.2">
      <c r="B1" s="622" t="s">
        <v>46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2" s="2" customFormat="1" ht="41" customHeight="1" x14ac:dyDescent="0.3">
      <c r="B2" s="623" t="str">
        <f>+ROUND(C29,1)&amp;""""&amp;" "&amp;F29&amp;" Aspect Ratio"</f>
        <v>125,5" 2,4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2:12" s="1" customFormat="1" x14ac:dyDescent="0.2"/>
    <row r="4" spans="2:12" s="1" customFormat="1" x14ac:dyDescent="0.2"/>
    <row r="5" spans="2:12" s="1" customFormat="1" x14ac:dyDescent="0.2">
      <c r="F5" s="60"/>
    </row>
    <row r="6" spans="2:12" s="1" customFormat="1" x14ac:dyDescent="0.2">
      <c r="F6" s="155"/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1327.9166666666667</v>
      </c>
    </row>
    <row r="12" spans="2:12" s="1" customFormat="1" x14ac:dyDescent="0.2">
      <c r="E12" s="79">
        <f>+E11/$F$34</f>
        <v>52.280183727034128</v>
      </c>
      <c r="G12" s="4"/>
    </row>
    <row r="13" spans="2:12" s="1" customFormat="1" x14ac:dyDescent="0.2">
      <c r="K13" s="5">
        <f>+D32</f>
        <v>1327.9166666666667</v>
      </c>
    </row>
    <row r="14" spans="2:12" s="1" customFormat="1" x14ac:dyDescent="0.2">
      <c r="G14" s="60">
        <f>+D33</f>
        <v>3452.5833333333335</v>
      </c>
      <c r="K14" s="155">
        <f>+K13/$F$34</f>
        <v>52.280183727034128</v>
      </c>
    </row>
    <row r="15" spans="2:12" s="1" customFormat="1" x14ac:dyDescent="0.2">
      <c r="G15" s="79">
        <f>+G14/$F$34</f>
        <v>135.92847769028873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30</v>
      </c>
    </row>
    <row r="26" spans="2:12" s="1" customFormat="1" x14ac:dyDescent="0.2">
      <c r="F26" s="60">
        <f>+D31</f>
        <v>3187</v>
      </c>
      <c r="L26" s="79">
        <f>+L25/$F$34</f>
        <v>1.1811023622047245</v>
      </c>
    </row>
    <row r="27" spans="2:12" s="1" customFormat="1" ht="15" customHeight="1" thickBot="1" x14ac:dyDescent="0.25">
      <c r="F27" s="79">
        <f>+F26/$F$34</f>
        <v>125.4724409448819</v>
      </c>
    </row>
    <row r="28" spans="2:12" s="1" customFormat="1" ht="18" customHeight="1" x14ac:dyDescent="0.2">
      <c r="B28" s="6"/>
      <c r="C28" s="7" t="s">
        <v>3</v>
      </c>
      <c r="D28" s="156" t="s">
        <v>4</v>
      </c>
      <c r="E28" s="9"/>
      <c r="F28" s="583"/>
      <c r="G28" s="584"/>
      <c r="H28" s="9" t="s">
        <v>6</v>
      </c>
      <c r="I28" s="585">
        <f ca="1">NOW()</f>
        <v>46062.500802662034</v>
      </c>
      <c r="J28" s="585"/>
      <c r="K28" s="585"/>
      <c r="L28" s="586"/>
    </row>
    <row r="29" spans="2:12" ht="40" customHeight="1" x14ac:dyDescent="0.2">
      <c r="B29" s="150" t="s">
        <v>7</v>
      </c>
      <c r="C29" s="151">
        <f t="shared" ref="C29:C34" si="0">+D29/$F$34</f>
        <v>125.4724409448819</v>
      </c>
      <c r="D29" s="315">
        <v>3187</v>
      </c>
      <c r="E29" s="152" t="s">
        <v>8</v>
      </c>
      <c r="F29" s="624">
        <v>2.4</v>
      </c>
      <c r="G29" s="625"/>
      <c r="H29" s="153" t="s">
        <v>9</v>
      </c>
      <c r="I29" s="626"/>
      <c r="J29" s="626"/>
      <c r="K29" s="626"/>
      <c r="L29" s="627"/>
    </row>
    <row r="30" spans="2:12" s="1" customFormat="1" ht="40" customHeight="1" x14ac:dyDescent="0.2">
      <c r="B30" s="10" t="s">
        <v>10</v>
      </c>
      <c r="C30" s="157">
        <f t="shared" si="0"/>
        <v>52.280183727034128</v>
      </c>
      <c r="D30" s="121">
        <f>D29/F29</f>
        <v>1327.9166666666667</v>
      </c>
      <c r="E30" s="12" t="s">
        <v>11</v>
      </c>
      <c r="F30" s="617" t="s">
        <v>12</v>
      </c>
      <c r="G30" s="618"/>
      <c r="H30" s="12" t="s">
        <v>13</v>
      </c>
      <c r="I30" s="619"/>
      <c r="J30" s="620"/>
      <c r="K30" s="620"/>
      <c r="L30" s="621"/>
    </row>
    <row r="31" spans="2:12" s="1" customFormat="1" ht="18" customHeight="1" x14ac:dyDescent="0.2">
      <c r="B31" s="10" t="s">
        <v>14</v>
      </c>
      <c r="C31" s="157">
        <f t="shared" si="0"/>
        <v>125.4724409448819</v>
      </c>
      <c r="D31" s="124">
        <f>+D29+(2*F33)</f>
        <v>3187</v>
      </c>
      <c r="E31" s="12" t="s">
        <v>15</v>
      </c>
      <c r="F31" s="158" t="s">
        <v>12</v>
      </c>
      <c r="G31" s="611" t="s">
        <v>179</v>
      </c>
      <c r="H31" s="612"/>
      <c r="I31" s="612"/>
      <c r="J31" s="612"/>
      <c r="K31" s="612"/>
      <c r="L31" s="613"/>
    </row>
    <row r="32" spans="2:12" s="1" customFormat="1" ht="18" customHeight="1" x14ac:dyDescent="0.2">
      <c r="B32" s="10" t="s">
        <v>18</v>
      </c>
      <c r="C32" s="157">
        <f t="shared" si="0"/>
        <v>52.280183727034128</v>
      </c>
      <c r="D32" s="124">
        <f>+D30+(2*F33)</f>
        <v>1327.9166666666667</v>
      </c>
      <c r="E32" s="12" t="s">
        <v>19</v>
      </c>
      <c r="F32" s="159" t="s">
        <v>12</v>
      </c>
      <c r="G32" s="614"/>
      <c r="H32" s="615"/>
      <c r="I32" s="615"/>
      <c r="J32" s="615"/>
      <c r="K32" s="615"/>
      <c r="L32" s="616"/>
    </row>
    <row r="33" spans="2:12" s="1" customFormat="1" ht="18" customHeight="1" x14ac:dyDescent="0.2">
      <c r="B33" s="10" t="s">
        <v>21</v>
      </c>
      <c r="C33" s="157">
        <f t="shared" si="0"/>
        <v>135.92847769028873</v>
      </c>
      <c r="D33" s="124">
        <f>SQRT((D29^2)+(D30^2))</f>
        <v>3452.5833333333335</v>
      </c>
      <c r="E33" s="12" t="s">
        <v>22</v>
      </c>
      <c r="F33" s="160">
        <v>0</v>
      </c>
      <c r="G33" s="16"/>
      <c r="L33" s="15"/>
    </row>
    <row r="34" spans="2:12" s="1" customFormat="1" ht="18" customHeight="1" thickBot="1" x14ac:dyDescent="0.25">
      <c r="B34" s="17" t="s">
        <v>23</v>
      </c>
      <c r="C34" s="161">
        <f t="shared" si="0"/>
        <v>1.1811023622047245</v>
      </c>
      <c r="D34" s="162">
        <f>IF(D29&gt;3558, 40, 30)</f>
        <v>30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8" customHeight="1" x14ac:dyDescent="0.2">
      <c r="B35" s="86"/>
      <c r="C35" s="316"/>
      <c r="D35" s="317"/>
      <c r="E35" s="86"/>
      <c r="F35" s="210"/>
      <c r="L35" s="83"/>
    </row>
    <row r="36" spans="2:12" s="1" customFormat="1" ht="18" customHeight="1" x14ac:dyDescent="0.2">
      <c r="B36" s="86"/>
      <c r="C36" s="316"/>
      <c r="D36" s="317"/>
      <c r="E36" s="86"/>
      <c r="F36" s="210"/>
      <c r="L36" s="83"/>
    </row>
    <row r="37" spans="2:12" s="1" customFormat="1" ht="16" customHeight="1" thickBot="1" x14ac:dyDescent="0.25"/>
    <row r="38" spans="2:12" s="1" customFormat="1" ht="16" customHeight="1" x14ac:dyDescent="0.2">
      <c r="B38" s="205"/>
      <c r="C38" s="318" t="s">
        <v>48</v>
      </c>
      <c r="D38" s="319"/>
      <c r="E38" s="319"/>
      <c r="F38" s="319"/>
      <c r="G38" s="319"/>
      <c r="H38" s="319"/>
      <c r="I38" s="319"/>
      <c r="J38" s="319"/>
      <c r="K38" s="319"/>
      <c r="L38" s="320"/>
    </row>
    <row r="39" spans="2:12" s="1" customFormat="1" ht="7" customHeight="1" x14ac:dyDescent="0.2">
      <c r="B39" s="225"/>
      <c r="C39" s="54"/>
      <c r="L39" s="15"/>
    </row>
    <row r="40" spans="2:12" s="1" customFormat="1" ht="16" customHeight="1" x14ac:dyDescent="0.2">
      <c r="B40" s="209"/>
      <c r="C40" s="219"/>
      <c r="D40" s="322" t="s">
        <v>27</v>
      </c>
      <c r="E40" s="322" t="s">
        <v>3</v>
      </c>
      <c r="F40" s="322" t="s">
        <v>4</v>
      </c>
      <c r="L40" s="15"/>
    </row>
    <row r="41" spans="2:12" s="1" customFormat="1" ht="16" customHeight="1" x14ac:dyDescent="0.2">
      <c r="B41" s="209"/>
      <c r="C41" s="219" t="s">
        <v>29</v>
      </c>
      <c r="D41" s="323" t="s">
        <v>30</v>
      </c>
      <c r="E41" s="144">
        <v>200</v>
      </c>
      <c r="F41" s="144">
        <f>E41*25.4</f>
        <v>5080</v>
      </c>
      <c r="L41" s="15"/>
    </row>
    <row r="42" spans="2:12" s="1" customFormat="1" ht="16" customHeight="1" x14ac:dyDescent="0.2">
      <c r="B42" s="209"/>
      <c r="C42" s="219" t="s">
        <v>31</v>
      </c>
      <c r="D42" s="323" t="s">
        <v>49</v>
      </c>
      <c r="E42" s="144">
        <v>280</v>
      </c>
      <c r="F42" s="144">
        <f>E42*25.4</f>
        <v>7112</v>
      </c>
      <c r="H42" s="1" t="s">
        <v>50</v>
      </c>
      <c r="L42" s="15"/>
    </row>
    <row r="43" spans="2:12" s="1" customFormat="1" ht="16" customHeight="1" x14ac:dyDescent="0.2">
      <c r="B43" s="209"/>
      <c r="L43" s="15"/>
    </row>
    <row r="44" spans="2:12" s="1" customFormat="1" ht="16" customHeight="1" x14ac:dyDescent="0.2">
      <c r="B44" s="209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15"/>
    </row>
    <row r="45" spans="2:12" s="1" customFormat="1" ht="16" customHeight="1" x14ac:dyDescent="0.2">
      <c r="B45" s="225"/>
      <c r="C45" s="1" t="s">
        <v>51</v>
      </c>
      <c r="L45" s="15"/>
    </row>
    <row r="46" spans="2:12" s="1" customFormat="1" hidden="1" x14ac:dyDescent="0.2">
      <c r="B46" s="209"/>
      <c r="C46" s="1" t="s">
        <v>52</v>
      </c>
      <c r="L46" s="15"/>
    </row>
    <row r="47" spans="2:12" s="1" customFormat="1" hidden="1" x14ac:dyDescent="0.2">
      <c r="B47" s="209"/>
      <c r="C47" s="1" t="s">
        <v>53</v>
      </c>
      <c r="L47" s="15"/>
    </row>
    <row r="48" spans="2:12" s="1" customFormat="1" x14ac:dyDescent="0.2">
      <c r="B48" s="209"/>
      <c r="C48" s="1" t="s">
        <v>54</v>
      </c>
      <c r="L48" s="15"/>
    </row>
    <row r="49" spans="2:12" s="1" customFormat="1" ht="16" thickBot="1" x14ac:dyDescent="0.25">
      <c r="B49" s="209"/>
      <c r="L49" s="15"/>
    </row>
    <row r="50" spans="2:12" s="1" customFormat="1" ht="20" customHeight="1" thickBot="1" x14ac:dyDescent="0.25">
      <c r="B50" s="608" t="s">
        <v>169</v>
      </c>
      <c r="L50" s="15"/>
    </row>
    <row r="51" spans="2:12" s="1" customFormat="1" ht="20" customHeight="1" thickBot="1" x14ac:dyDescent="0.25">
      <c r="B51" s="609"/>
      <c r="C51" s="1" t="s">
        <v>177</v>
      </c>
      <c r="D51" s="83"/>
      <c r="E51" s="552"/>
      <c r="L51" s="15"/>
    </row>
    <row r="52" spans="2:12" s="1" customFormat="1" ht="20" customHeight="1" thickBot="1" x14ac:dyDescent="0.25">
      <c r="B52" s="610"/>
      <c r="C52" s="1" t="s">
        <v>178</v>
      </c>
      <c r="D52" s="83"/>
      <c r="E52" s="552"/>
      <c r="L52" s="15"/>
    </row>
    <row r="53" spans="2:12" s="1" customFormat="1" x14ac:dyDescent="0.2">
      <c r="B53" s="209"/>
      <c r="L53" s="15"/>
    </row>
    <row r="54" spans="2:12" s="1" customFormat="1" ht="27" customHeight="1" x14ac:dyDescent="0.2">
      <c r="B54" s="209"/>
      <c r="L54" s="15"/>
    </row>
    <row r="55" spans="2:12" s="1" customFormat="1" x14ac:dyDescent="0.2">
      <c r="B55" s="209"/>
      <c r="C55" s="50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15"/>
    </row>
    <row r="56" spans="2:12" s="1" customFormat="1" x14ac:dyDescent="0.2">
      <c r="B56" s="225"/>
      <c r="C56" s="50"/>
      <c r="D56" s="55"/>
      <c r="E56" s="55"/>
      <c r="F56" s="55"/>
      <c r="L56" s="15"/>
    </row>
    <row r="57" spans="2:12" s="1" customFormat="1" x14ac:dyDescent="0.2">
      <c r="B57" s="209"/>
      <c r="C57" s="220" t="s">
        <v>38</v>
      </c>
      <c r="D57" s="324">
        <f>IF(C29&gt;199,2,1)</f>
        <v>1</v>
      </c>
      <c r="E57" s="143"/>
      <c r="F57" s="143"/>
      <c r="L57" s="15"/>
    </row>
    <row r="58" spans="2:12" s="1" customFormat="1" x14ac:dyDescent="0.2">
      <c r="B58" s="209"/>
      <c r="C58" s="220" t="s">
        <v>39</v>
      </c>
      <c r="D58" s="271">
        <f>IF(C29&gt;199, D32+350, D31/2+350)</f>
        <v>1943.5</v>
      </c>
      <c r="E58" s="143" t="s">
        <v>4</v>
      </c>
      <c r="F58" s="143" t="s">
        <v>40</v>
      </c>
      <c r="L58" s="15"/>
    </row>
    <row r="59" spans="2:12" s="1" customFormat="1" x14ac:dyDescent="0.2">
      <c r="B59" s="209"/>
      <c r="C59" s="220" t="s">
        <v>41</v>
      </c>
      <c r="D59" s="272">
        <v>350</v>
      </c>
      <c r="E59" s="143" t="s">
        <v>4</v>
      </c>
      <c r="F59" s="143" t="s">
        <v>40</v>
      </c>
      <c r="L59" s="15"/>
    </row>
    <row r="60" spans="2:12" s="1" customFormat="1" x14ac:dyDescent="0.2">
      <c r="B60" s="209"/>
      <c r="C60" s="220" t="s">
        <v>42</v>
      </c>
      <c r="D60" s="272">
        <v>259</v>
      </c>
      <c r="E60" s="143" t="s">
        <v>4</v>
      </c>
      <c r="F60" s="143" t="s">
        <v>40</v>
      </c>
      <c r="L60" s="15"/>
    </row>
    <row r="61" spans="2:12" s="1" customFormat="1" x14ac:dyDescent="0.2">
      <c r="B61" s="209"/>
      <c r="C61" s="220" t="s">
        <v>43</v>
      </c>
      <c r="D61" s="273">
        <f>IF(C29&lt;140,C29*0.16,C29*0.25)</f>
        <v>20.075590551181104</v>
      </c>
      <c r="E61" s="143" t="s">
        <v>44</v>
      </c>
      <c r="F61" s="143" t="s">
        <v>45</v>
      </c>
      <c r="L61" s="15"/>
    </row>
    <row r="62" spans="2:12" s="1" customFormat="1" x14ac:dyDescent="0.2">
      <c r="B62" s="209"/>
      <c r="L62" s="15"/>
    </row>
    <row r="63" spans="2:12" s="1" customFormat="1" x14ac:dyDescent="0.2">
      <c r="B63" s="209"/>
      <c r="L63" s="15"/>
    </row>
    <row r="64" spans="2:12" s="1" customFormat="1" x14ac:dyDescent="0.2">
      <c r="B64" s="209"/>
      <c r="L64" s="15"/>
    </row>
    <row r="65" spans="2:12" s="1" customFormat="1" x14ac:dyDescent="0.2">
      <c r="B65" s="209"/>
      <c r="C65" s="212"/>
      <c r="L65" s="15"/>
    </row>
    <row r="66" spans="2:12" s="1" customFormat="1" x14ac:dyDescent="0.2">
      <c r="B66" s="209"/>
      <c r="C66" s="212"/>
      <c r="L66" s="15"/>
    </row>
    <row r="67" spans="2:12" s="1" customFormat="1" x14ac:dyDescent="0.2">
      <c r="B67" s="209"/>
      <c r="C67" s="212"/>
      <c r="L67" s="15"/>
    </row>
    <row r="68" spans="2:12" s="1" customFormat="1" x14ac:dyDescent="0.2">
      <c r="B68" s="209"/>
      <c r="C68" s="212"/>
      <c r="L68" s="15"/>
    </row>
    <row r="69" spans="2:12" s="1" customFormat="1" x14ac:dyDescent="0.2">
      <c r="B69" s="209"/>
      <c r="C69" s="212"/>
      <c r="L69" s="15"/>
    </row>
    <row r="70" spans="2:12" s="1" customFormat="1" x14ac:dyDescent="0.2">
      <c r="B70" s="209"/>
      <c r="C70" s="212"/>
      <c r="L70" s="15"/>
    </row>
    <row r="71" spans="2:12" s="1" customFormat="1" x14ac:dyDescent="0.2">
      <c r="B71" s="209"/>
      <c r="C71" s="212"/>
      <c r="L71" s="15"/>
    </row>
    <row r="72" spans="2:12" s="1" customFormat="1" x14ac:dyDescent="0.2">
      <c r="B72" s="209"/>
      <c r="C72" s="212"/>
      <c r="L72" s="15"/>
    </row>
    <row r="73" spans="2:12" s="1" customFormat="1" x14ac:dyDescent="0.2">
      <c r="B73" s="209"/>
      <c r="C73" s="212"/>
      <c r="L73" s="15"/>
    </row>
    <row r="74" spans="2:12" s="1" customFormat="1" x14ac:dyDescent="0.2">
      <c r="B74" s="209"/>
      <c r="C74" s="212"/>
      <c r="L74" s="15"/>
    </row>
    <row r="75" spans="2:12" s="1" customFormat="1" x14ac:dyDescent="0.2">
      <c r="B75" s="209"/>
      <c r="C75" s="212"/>
      <c r="L75" s="15"/>
    </row>
    <row r="76" spans="2:12" s="1" customFormat="1" x14ac:dyDescent="0.2">
      <c r="B76" s="209"/>
      <c r="C76" s="212"/>
      <c r="L76" s="15"/>
    </row>
    <row r="77" spans="2:12" s="1" customFormat="1" x14ac:dyDescent="0.2">
      <c r="B77" s="209"/>
      <c r="C77" s="212"/>
      <c r="L77" s="15"/>
    </row>
    <row r="78" spans="2:12" s="1" customFormat="1" x14ac:dyDescent="0.2">
      <c r="B78" s="209"/>
      <c r="C78" s="212"/>
      <c r="L78" s="15"/>
    </row>
    <row r="79" spans="2:12" s="1" customFormat="1" x14ac:dyDescent="0.2">
      <c r="B79" s="209"/>
      <c r="C79" s="212"/>
      <c r="L79" s="15"/>
    </row>
    <row r="80" spans="2:12" s="1" customFormat="1" x14ac:dyDescent="0.2">
      <c r="B80" s="209"/>
      <c r="C80" s="212"/>
      <c r="L80" s="15"/>
    </row>
    <row r="81" spans="2:12" s="1" customFormat="1" x14ac:dyDescent="0.2">
      <c r="B81" s="209"/>
      <c r="C81" s="212"/>
      <c r="L81" s="15"/>
    </row>
    <row r="82" spans="2:12" s="1" customFormat="1" x14ac:dyDescent="0.2">
      <c r="B82" s="209"/>
      <c r="C82" s="212"/>
      <c r="L82" s="15"/>
    </row>
    <row r="83" spans="2:12" s="1" customFormat="1" x14ac:dyDescent="0.2">
      <c r="B83" s="209"/>
      <c r="C83" s="212"/>
      <c r="L83" s="15"/>
    </row>
    <row r="84" spans="2:12" s="1" customFormat="1" x14ac:dyDescent="0.2">
      <c r="B84" s="209"/>
      <c r="C84" s="212"/>
      <c r="L84" s="15"/>
    </row>
    <row r="85" spans="2:12" s="1" customFormat="1" x14ac:dyDescent="0.2">
      <c r="B85" s="209"/>
      <c r="C85" s="212"/>
      <c r="L85" s="15"/>
    </row>
    <row r="86" spans="2:12" s="1" customFormat="1" ht="16" thickBot="1" x14ac:dyDescent="0.25">
      <c r="B86" s="217"/>
      <c r="C86" s="321"/>
      <c r="D86" s="19"/>
      <c r="E86" s="19"/>
      <c r="F86" s="19"/>
      <c r="G86" s="19"/>
      <c r="H86" s="19"/>
      <c r="I86" s="19"/>
      <c r="J86" s="19"/>
      <c r="K86" s="19"/>
      <c r="L86" s="28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iD94dEDiHWBs5JaQjEnGiiSpvWrSc816qFQwC91CgsA681PtyoTpWmmN8Ohbb8jpRa3nU76J1bskej34tbsYoA==" saltValue="1+mLMQcneOIqMCwQmOUI2g==" spinCount="100000" sheet="1" objects="1" scenarios="1"/>
  <mergeCells count="10">
    <mergeCell ref="B50:B52"/>
    <mergeCell ref="G31:L32"/>
    <mergeCell ref="F30:G30"/>
    <mergeCell ref="I30:L30"/>
    <mergeCell ref="B1:L1"/>
    <mergeCell ref="B2:L2"/>
    <mergeCell ref="F28:G28"/>
    <mergeCell ref="I28:L28"/>
    <mergeCell ref="F29:G29"/>
    <mergeCell ref="I29:L29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16"/>
  <sheetViews>
    <sheetView showGridLines="0" topLeftCell="A2" workbookViewId="0">
      <selection activeCell="H3" sqref="H3"/>
    </sheetView>
  </sheetViews>
  <sheetFormatPr baseColWidth="10" defaultColWidth="10.83203125" defaultRowHeight="15" x14ac:dyDescent="0.2"/>
  <cols>
    <col min="1" max="1" width="6.5" style="109" customWidth="1"/>
    <col min="2" max="2" width="11.5" style="109" customWidth="1"/>
    <col min="3" max="16384" width="10.83203125" style="109"/>
  </cols>
  <sheetData>
    <row r="1" spans="2:12" s="1" customFormat="1" ht="41" customHeight="1" x14ac:dyDescent="0.2">
      <c r="B1" s="622" t="s">
        <v>55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2" s="2" customFormat="1" ht="41" customHeight="1" x14ac:dyDescent="0.3">
      <c r="B2" s="623" t="str">
        <f>+ROUND(C31,1)&amp;""""&amp;" "&amp;F31&amp;" Aspect Ratio"</f>
        <v>170" 2,4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2:12" s="2" customFormat="1" ht="41" customHeigh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2" customFormat="1" ht="41" customHeight="1" x14ac:dyDescent="0.3">
      <c r="B4" s="59"/>
      <c r="C4" s="59"/>
      <c r="D4" s="59"/>
      <c r="E4" s="59"/>
      <c r="F4" s="88">
        <f>F7</f>
        <v>4318</v>
      </c>
      <c r="G4" s="59"/>
      <c r="H4" s="59"/>
      <c r="I4" s="59"/>
      <c r="J4" s="59"/>
      <c r="K4" s="59"/>
      <c r="L4" s="59"/>
    </row>
    <row r="5" spans="2:12" s="1" customFormat="1" x14ac:dyDescent="0.2"/>
    <row r="6" spans="2:12" s="1" customFormat="1" x14ac:dyDescent="0.2"/>
    <row r="7" spans="2:12" s="1" customFormat="1" x14ac:dyDescent="0.2">
      <c r="F7" s="201">
        <f>+D31</f>
        <v>4318</v>
      </c>
    </row>
    <row r="8" spans="2:12" s="1" customFormat="1" x14ac:dyDescent="0.2">
      <c r="F8" s="260">
        <f>+F7/$F$36</f>
        <v>170</v>
      </c>
    </row>
    <row r="9" spans="2:12" s="1" customFormat="1" x14ac:dyDescent="0.2"/>
    <row r="10" spans="2:12" s="1" customFormat="1" x14ac:dyDescent="0.2"/>
    <row r="11" spans="2:12" s="1" customFormat="1" x14ac:dyDescent="0.2"/>
    <row r="12" spans="2:12" s="1" customFormat="1" x14ac:dyDescent="0.2"/>
    <row r="13" spans="2:12" s="1" customFormat="1" x14ac:dyDescent="0.2">
      <c r="E13" s="60">
        <f>+D32</f>
        <v>1799.1666666666667</v>
      </c>
    </row>
    <row r="14" spans="2:12" s="1" customFormat="1" x14ac:dyDescent="0.2">
      <c r="E14" s="229">
        <f>+E13/$F$36</f>
        <v>70.833333333333343</v>
      </c>
      <c r="G14" s="4"/>
    </row>
    <row r="15" spans="2:12" s="1" customFormat="1" x14ac:dyDescent="0.2">
      <c r="K15" s="5">
        <f>+D34</f>
        <v>1839.1666666666667</v>
      </c>
    </row>
    <row r="16" spans="2:12" s="1" customFormat="1" ht="32" x14ac:dyDescent="0.2">
      <c r="G16" s="261">
        <f>+D35</f>
        <v>4677.833333333333</v>
      </c>
      <c r="K16" s="260">
        <f>+K15/$F$36</f>
        <v>72.408136482939639</v>
      </c>
    </row>
    <row r="17" spans="2:12" s="1" customFormat="1" x14ac:dyDescent="0.2">
      <c r="G17" s="229">
        <f>+G16/$F$36</f>
        <v>184.16666666666666</v>
      </c>
    </row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/>
    <row r="22" spans="2:12" s="1" customFormat="1" x14ac:dyDescent="0.2"/>
    <row r="23" spans="2:12" s="1" customFormat="1" x14ac:dyDescent="0.2">
      <c r="F23" s="62"/>
    </row>
    <row r="24" spans="2:12" s="1" customFormat="1" x14ac:dyDescent="0.2">
      <c r="F24" s="3"/>
    </row>
    <row r="25" spans="2:12" s="1" customFormat="1" x14ac:dyDescent="0.2"/>
    <row r="26" spans="2:12" s="1" customFormat="1" x14ac:dyDescent="0.2"/>
    <row r="27" spans="2:12" s="1" customFormat="1" x14ac:dyDescent="0.2">
      <c r="L27" s="60">
        <f>+D36</f>
        <v>30</v>
      </c>
    </row>
    <row r="28" spans="2:12" s="1" customFormat="1" x14ac:dyDescent="0.2">
      <c r="F28" s="60">
        <f>+D33</f>
        <v>4358</v>
      </c>
      <c r="L28" s="229">
        <f>+L27/$F$36</f>
        <v>1.1811023622047245</v>
      </c>
    </row>
    <row r="29" spans="2:12" s="1" customFormat="1" ht="16" thickBot="1" x14ac:dyDescent="0.25">
      <c r="F29" s="229">
        <f>+F28/$F$36</f>
        <v>171.57480314960631</v>
      </c>
    </row>
    <row r="30" spans="2:12" ht="18" customHeight="1" x14ac:dyDescent="0.2">
      <c r="B30" s="146"/>
      <c r="C30" s="147" t="s">
        <v>3</v>
      </c>
      <c r="D30" s="148" t="s">
        <v>4</v>
      </c>
      <c r="E30" s="149"/>
      <c r="F30" s="629"/>
      <c r="G30" s="630"/>
      <c r="H30" s="149" t="s">
        <v>6</v>
      </c>
      <c r="I30" s="631">
        <f ca="1">NOW()</f>
        <v>46062.500802662034</v>
      </c>
      <c r="J30" s="631"/>
      <c r="K30" s="631"/>
      <c r="L30" s="632"/>
    </row>
    <row r="31" spans="2:12" ht="40" customHeight="1" x14ac:dyDescent="0.2">
      <c r="B31" s="150" t="s">
        <v>7</v>
      </c>
      <c r="C31" s="166">
        <f t="shared" ref="C31:C36" si="0">+D31/$F$36</f>
        <v>170</v>
      </c>
      <c r="D31" s="290">
        <v>4318</v>
      </c>
      <c r="E31" s="152" t="s">
        <v>8</v>
      </c>
      <c r="F31" s="587">
        <v>2.4</v>
      </c>
      <c r="G31" s="588"/>
      <c r="H31" s="153" t="s">
        <v>9</v>
      </c>
      <c r="I31" s="626"/>
      <c r="J31" s="626"/>
      <c r="K31" s="626"/>
      <c r="L31" s="627"/>
    </row>
    <row r="32" spans="2:12" s="1" customFormat="1" ht="40" customHeight="1" x14ac:dyDescent="0.2">
      <c r="B32" s="10" t="s">
        <v>10</v>
      </c>
      <c r="C32" s="167">
        <f t="shared" si="0"/>
        <v>70.833333333333343</v>
      </c>
      <c r="D32" s="121">
        <f>D31/F31</f>
        <v>1799.1666666666667</v>
      </c>
      <c r="E32" s="12" t="s">
        <v>11</v>
      </c>
      <c r="F32" s="617" t="s">
        <v>12</v>
      </c>
      <c r="G32" s="618"/>
      <c r="H32" s="12" t="s">
        <v>13</v>
      </c>
      <c r="I32" s="619"/>
      <c r="J32" s="620"/>
      <c r="K32" s="620"/>
      <c r="L32" s="621"/>
    </row>
    <row r="33" spans="2:12" s="1" customFormat="1" ht="18" customHeight="1" x14ac:dyDescent="0.2">
      <c r="B33" s="10" t="s">
        <v>14</v>
      </c>
      <c r="C33" s="167">
        <f t="shared" si="0"/>
        <v>171.57480314960631</v>
      </c>
      <c r="D33" s="124">
        <f>+D31+(2*F35)</f>
        <v>4358</v>
      </c>
      <c r="E33" s="12" t="s">
        <v>15</v>
      </c>
      <c r="F33" s="158" t="s">
        <v>12</v>
      </c>
      <c r="G33" s="1" t="s">
        <v>16</v>
      </c>
      <c r="L33" s="15"/>
    </row>
    <row r="34" spans="2:12" s="1" customFormat="1" ht="18" customHeight="1" x14ac:dyDescent="0.2">
      <c r="B34" s="10" t="s">
        <v>18</v>
      </c>
      <c r="C34" s="167">
        <f t="shared" si="0"/>
        <v>72.408136482939639</v>
      </c>
      <c r="D34" s="124">
        <f>+D32+(2*F35)</f>
        <v>1839.1666666666667</v>
      </c>
      <c r="E34" s="12" t="s">
        <v>19</v>
      </c>
      <c r="F34" s="159" t="s">
        <v>12</v>
      </c>
      <c r="G34" s="16"/>
      <c r="L34" s="15"/>
    </row>
    <row r="35" spans="2:12" s="1" customFormat="1" ht="18" customHeight="1" x14ac:dyDescent="0.2">
      <c r="B35" s="10" t="s">
        <v>21</v>
      </c>
      <c r="C35" s="167">
        <f t="shared" si="0"/>
        <v>184.16666666666666</v>
      </c>
      <c r="D35" s="124">
        <f>SQRT((D31^2)+(D32^2))</f>
        <v>4677.833333333333</v>
      </c>
      <c r="E35" s="12" t="s">
        <v>22</v>
      </c>
      <c r="F35" s="347">
        <f>(IF(D31&gt;3556,20,15))</f>
        <v>20</v>
      </c>
      <c r="G35" s="16"/>
      <c r="L35" s="15"/>
    </row>
    <row r="36" spans="2:12" s="1" customFormat="1" ht="18" customHeight="1" thickBot="1" x14ac:dyDescent="0.3">
      <c r="B36" s="17" t="s">
        <v>23</v>
      </c>
      <c r="C36" s="168">
        <f t="shared" si="0"/>
        <v>1.1811023622047245</v>
      </c>
      <c r="D36" s="162">
        <v>30</v>
      </c>
      <c r="E36" s="18" t="s">
        <v>24</v>
      </c>
      <c r="F36" s="163">
        <v>25.4</v>
      </c>
      <c r="G36" s="19"/>
      <c r="H36" s="19"/>
      <c r="I36" s="19"/>
      <c r="J36" s="19"/>
      <c r="K36" s="325"/>
      <c r="L36" s="326" t="s">
        <v>47</v>
      </c>
    </row>
    <row r="37" spans="2:12" s="1" customFormat="1" ht="18" customHeight="1" thickBot="1" x14ac:dyDescent="0.25">
      <c r="B37" s="86"/>
      <c r="C37" s="90"/>
      <c r="D37" s="317"/>
      <c r="E37" s="86"/>
      <c r="F37" s="210"/>
      <c r="L37" s="83"/>
    </row>
    <row r="38" spans="2:12" s="1" customFormat="1" ht="18" customHeight="1" thickBot="1" x14ac:dyDescent="0.25">
      <c r="B38" s="328"/>
      <c r="C38" s="329"/>
      <c r="D38" s="330"/>
      <c r="E38" s="331"/>
      <c r="F38" s="332"/>
      <c r="G38" s="207"/>
      <c r="H38" s="207"/>
      <c r="I38" s="207"/>
      <c r="J38" s="207"/>
      <c r="K38" s="207"/>
      <c r="L38" s="333"/>
    </row>
    <row r="39" spans="2:12" s="1" customFormat="1" ht="18" customHeight="1" thickBot="1" x14ac:dyDescent="0.25">
      <c r="B39" s="608" t="s">
        <v>169</v>
      </c>
      <c r="F39" s="210"/>
      <c r="L39" s="334"/>
    </row>
    <row r="40" spans="2:12" s="1" customFormat="1" ht="18" customHeight="1" thickBot="1" x14ac:dyDescent="0.25">
      <c r="B40" s="609"/>
      <c r="C40" s="1" t="s">
        <v>177</v>
      </c>
      <c r="D40" s="83"/>
      <c r="E40" s="342" t="s">
        <v>316</v>
      </c>
      <c r="F40" s="210"/>
      <c r="L40" s="334"/>
    </row>
    <row r="41" spans="2:12" s="1" customFormat="1" ht="18" customHeight="1" thickBot="1" x14ac:dyDescent="0.25">
      <c r="B41" s="610"/>
      <c r="C41" s="1" t="s">
        <v>178</v>
      </c>
      <c r="D41" s="83"/>
      <c r="E41" s="342"/>
      <c r="F41" s="210"/>
      <c r="L41" s="334"/>
    </row>
    <row r="42" spans="2:12" s="1" customFormat="1" ht="16" customHeight="1" x14ac:dyDescent="0.2">
      <c r="B42" s="209"/>
      <c r="L42" s="15"/>
    </row>
    <row r="43" spans="2:12" s="1" customFormat="1" ht="16" customHeight="1" x14ac:dyDescent="0.2">
      <c r="B43" s="209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15"/>
    </row>
    <row r="44" spans="2:12" s="1" customFormat="1" ht="18" customHeight="1" x14ac:dyDescent="0.2">
      <c r="B44" s="225"/>
      <c r="C44" s="54"/>
      <c r="E44" s="620" t="s">
        <v>180</v>
      </c>
      <c r="F44" s="628"/>
      <c r="G44" s="620" t="s">
        <v>165</v>
      </c>
      <c r="H44" s="628"/>
      <c r="L44" s="15"/>
    </row>
    <row r="45" spans="2:12" s="1" customFormat="1" ht="16" customHeight="1" x14ac:dyDescent="0.2">
      <c r="B45" s="209"/>
      <c r="C45" s="219"/>
      <c r="D45" s="322" t="s">
        <v>27</v>
      </c>
      <c r="E45" s="322" t="s">
        <v>3</v>
      </c>
      <c r="F45" s="322" t="s">
        <v>4</v>
      </c>
      <c r="G45" s="322" t="s">
        <v>3</v>
      </c>
      <c r="H45" s="322" t="s">
        <v>4</v>
      </c>
      <c r="L45" s="15"/>
    </row>
    <row r="46" spans="2:12" s="1" customFormat="1" ht="16" customHeight="1" x14ac:dyDescent="0.2">
      <c r="B46" s="209"/>
      <c r="C46" s="219" t="s">
        <v>29</v>
      </c>
      <c r="D46" s="323" t="s">
        <v>30</v>
      </c>
      <c r="E46" s="144">
        <v>200</v>
      </c>
      <c r="F46" s="144">
        <f>E46*25.4</f>
        <v>5080</v>
      </c>
      <c r="G46" s="144">
        <v>140</v>
      </c>
      <c r="H46" s="144">
        <f>G46*25.4</f>
        <v>3556</v>
      </c>
      <c r="L46" s="15"/>
    </row>
    <row r="47" spans="2:12" s="1" customFormat="1" ht="16" customHeight="1" x14ac:dyDescent="0.2">
      <c r="B47" s="209"/>
      <c r="C47" s="219" t="s">
        <v>31</v>
      </c>
      <c r="D47" s="323" t="s">
        <v>49</v>
      </c>
      <c r="E47" s="144">
        <v>200</v>
      </c>
      <c r="F47" s="144">
        <f>E47*25.4</f>
        <v>5080</v>
      </c>
      <c r="G47" s="144">
        <v>160</v>
      </c>
      <c r="H47" s="144">
        <f>G47*25.4</f>
        <v>4064</v>
      </c>
      <c r="L47" s="15"/>
    </row>
    <row r="48" spans="2:12" s="1" customFormat="1" ht="16" customHeight="1" x14ac:dyDescent="0.2">
      <c r="B48" s="209"/>
      <c r="F48" s="1" t="s">
        <v>50</v>
      </c>
      <c r="L48" s="15"/>
    </row>
    <row r="49" spans="2:12" s="1" customFormat="1" ht="16" customHeight="1" x14ac:dyDescent="0.2">
      <c r="B49" s="209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2" s="1" customFormat="1" ht="16" customHeight="1" x14ac:dyDescent="0.2">
      <c r="B50" s="225"/>
      <c r="C50" s="1" t="s">
        <v>56</v>
      </c>
      <c r="L50" s="15"/>
    </row>
    <row r="51" spans="2:12" s="1" customFormat="1" x14ac:dyDescent="0.2">
      <c r="B51" s="209"/>
      <c r="C51" s="1" t="s">
        <v>52</v>
      </c>
      <c r="L51" s="15"/>
    </row>
    <row r="52" spans="2:12" s="1" customFormat="1" x14ac:dyDescent="0.2">
      <c r="B52" s="209"/>
      <c r="C52" s="1" t="s">
        <v>57</v>
      </c>
      <c r="L52" s="15"/>
    </row>
    <row r="53" spans="2:12" s="1" customFormat="1" x14ac:dyDescent="0.2">
      <c r="B53" s="209"/>
      <c r="C53" s="1" t="s">
        <v>58</v>
      </c>
      <c r="L53" s="15"/>
    </row>
    <row r="54" spans="2:12" s="1" customFormat="1" ht="10" customHeight="1" x14ac:dyDescent="0.2">
      <c r="B54" s="209"/>
      <c r="L54" s="15"/>
    </row>
    <row r="55" spans="2:12" s="1" customFormat="1" x14ac:dyDescent="0.2">
      <c r="B55" s="209"/>
      <c r="C55" s="51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15"/>
    </row>
    <row r="56" spans="2:12" s="1" customFormat="1" x14ac:dyDescent="0.2">
      <c r="B56" s="225"/>
      <c r="C56" s="327"/>
      <c r="L56" s="15"/>
    </row>
    <row r="57" spans="2:12" s="1" customFormat="1" x14ac:dyDescent="0.2">
      <c r="B57" s="209"/>
      <c r="C57" s="220" t="s">
        <v>38</v>
      </c>
      <c r="D57" s="324">
        <f>IF(C31&gt;199,2,1)</f>
        <v>1</v>
      </c>
      <c r="E57" s="143"/>
      <c r="F57" s="143"/>
      <c r="L57" s="15"/>
    </row>
    <row r="58" spans="2:12" s="1" customFormat="1" x14ac:dyDescent="0.2">
      <c r="B58" s="209"/>
      <c r="C58" s="220" t="s">
        <v>39</v>
      </c>
      <c r="D58" s="271">
        <f>IF(C31&gt;199, D34+350, D33/2+350)</f>
        <v>2529</v>
      </c>
      <c r="E58" s="143" t="s">
        <v>4</v>
      </c>
      <c r="F58" s="143" t="s">
        <v>40</v>
      </c>
      <c r="L58" s="15"/>
    </row>
    <row r="59" spans="2:12" s="1" customFormat="1" x14ac:dyDescent="0.2">
      <c r="B59" s="209"/>
      <c r="C59" s="220" t="s">
        <v>41</v>
      </c>
      <c r="D59" s="272">
        <v>250</v>
      </c>
      <c r="E59" s="143" t="s">
        <v>4</v>
      </c>
      <c r="F59" s="143" t="s">
        <v>40</v>
      </c>
      <c r="L59" s="15"/>
    </row>
    <row r="60" spans="2:12" s="1" customFormat="1" x14ac:dyDescent="0.2">
      <c r="B60" s="209"/>
      <c r="C60" s="220" t="s">
        <v>42</v>
      </c>
      <c r="D60" s="272">
        <v>200</v>
      </c>
      <c r="E60" s="143" t="s">
        <v>4</v>
      </c>
      <c r="F60" s="143" t="s">
        <v>40</v>
      </c>
      <c r="L60" s="15"/>
    </row>
    <row r="61" spans="2:12" s="1" customFormat="1" x14ac:dyDescent="0.2">
      <c r="B61" s="209"/>
      <c r="C61" s="220" t="s">
        <v>43</v>
      </c>
      <c r="D61" s="273">
        <f>IF(C31&lt;140,C31*0.2,C31*0.3)</f>
        <v>51</v>
      </c>
      <c r="E61" s="143" t="s">
        <v>44</v>
      </c>
      <c r="F61" s="143" t="s">
        <v>45</v>
      </c>
      <c r="L61" s="15"/>
    </row>
    <row r="62" spans="2:12" s="1" customFormat="1" x14ac:dyDescent="0.2">
      <c r="B62" s="209"/>
      <c r="C62" s="213"/>
      <c r="L62" s="15"/>
    </row>
    <row r="63" spans="2:12" s="1" customFormat="1" x14ac:dyDescent="0.2">
      <c r="B63" s="209"/>
      <c r="C63" s="212"/>
      <c r="L63" s="15"/>
    </row>
    <row r="64" spans="2:12" x14ac:dyDescent="0.2">
      <c r="B64" s="335"/>
      <c r="C64" s="336"/>
      <c r="L64" s="337"/>
    </row>
    <row r="65" spans="2:12" x14ac:dyDescent="0.2">
      <c r="B65" s="335"/>
      <c r="C65" s="336"/>
      <c r="L65" s="337"/>
    </row>
    <row r="66" spans="2:12" x14ac:dyDescent="0.2">
      <c r="B66" s="335"/>
      <c r="C66" s="336"/>
      <c r="L66" s="337"/>
    </row>
    <row r="67" spans="2:12" x14ac:dyDescent="0.2">
      <c r="B67" s="335"/>
      <c r="C67" s="336"/>
      <c r="L67" s="337"/>
    </row>
    <row r="68" spans="2:12" x14ac:dyDescent="0.2">
      <c r="B68" s="335"/>
      <c r="C68" s="336"/>
      <c r="L68" s="337"/>
    </row>
    <row r="69" spans="2:12" x14ac:dyDescent="0.2">
      <c r="B69" s="335"/>
      <c r="C69" s="336"/>
      <c r="L69" s="337"/>
    </row>
    <row r="70" spans="2:12" x14ac:dyDescent="0.2">
      <c r="B70" s="335"/>
      <c r="C70" s="336"/>
      <c r="L70" s="337"/>
    </row>
    <row r="71" spans="2:12" x14ac:dyDescent="0.2">
      <c r="B71" s="335"/>
      <c r="C71" s="336"/>
      <c r="L71" s="337"/>
    </row>
    <row r="72" spans="2:12" x14ac:dyDescent="0.2">
      <c r="B72" s="335"/>
      <c r="C72" s="336"/>
      <c r="L72" s="337"/>
    </row>
    <row r="73" spans="2:12" x14ac:dyDescent="0.2">
      <c r="B73" s="335"/>
      <c r="C73" s="336"/>
      <c r="L73" s="337"/>
    </row>
    <row r="74" spans="2:12" x14ac:dyDescent="0.2">
      <c r="B74" s="335"/>
      <c r="C74" s="336"/>
      <c r="L74" s="337"/>
    </row>
    <row r="75" spans="2:12" x14ac:dyDescent="0.2">
      <c r="B75" s="335"/>
      <c r="C75" s="336"/>
      <c r="L75" s="337"/>
    </row>
    <row r="76" spans="2:12" x14ac:dyDescent="0.2">
      <c r="B76" s="335"/>
      <c r="C76" s="336"/>
      <c r="L76" s="337"/>
    </row>
    <row r="77" spans="2:12" x14ac:dyDescent="0.2">
      <c r="B77" s="335"/>
      <c r="C77" s="336"/>
      <c r="L77" s="337"/>
    </row>
    <row r="78" spans="2:12" x14ac:dyDescent="0.2">
      <c r="B78" s="335"/>
      <c r="C78" s="336"/>
      <c r="L78" s="337"/>
    </row>
    <row r="79" spans="2:12" x14ac:dyDescent="0.2">
      <c r="B79" s="335"/>
      <c r="C79" s="336"/>
      <c r="L79" s="337"/>
    </row>
    <row r="80" spans="2:12" x14ac:dyDescent="0.2">
      <c r="B80" s="335"/>
      <c r="C80" s="336"/>
      <c r="L80" s="337"/>
    </row>
    <row r="81" spans="2:12" x14ac:dyDescent="0.2">
      <c r="B81" s="335"/>
      <c r="C81" s="336"/>
      <c r="L81" s="337"/>
    </row>
    <row r="82" spans="2:12" x14ac:dyDescent="0.2">
      <c r="B82" s="335"/>
      <c r="C82" s="336"/>
      <c r="L82" s="337"/>
    </row>
    <row r="83" spans="2:12" x14ac:dyDescent="0.2">
      <c r="B83" s="335"/>
      <c r="C83" s="336"/>
      <c r="L83" s="337"/>
    </row>
    <row r="84" spans="2:12" x14ac:dyDescent="0.2">
      <c r="B84" s="335"/>
      <c r="C84" s="336"/>
      <c r="L84" s="337"/>
    </row>
    <row r="85" spans="2:12" x14ac:dyDescent="0.2">
      <c r="B85" s="335"/>
      <c r="C85" s="336"/>
      <c r="L85" s="337"/>
    </row>
    <row r="86" spans="2:12" ht="16" thickBot="1" x14ac:dyDescent="0.25">
      <c r="B86" s="338"/>
      <c r="C86" s="339"/>
      <c r="D86" s="340"/>
      <c r="E86" s="340"/>
      <c r="F86" s="340"/>
      <c r="G86" s="340"/>
      <c r="H86" s="340"/>
      <c r="I86" s="340"/>
      <c r="J86" s="340"/>
      <c r="K86" s="340"/>
      <c r="L86" s="341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2t0K+6QlgzJtfOy33StB+6qxY+b/9Xchtjj7UTGyY75Zt3Z/7xtUEknJD44MYs2F0cqlXUaPS7+pXdDwnXGvEg==" saltValue="5cwD5naXldd/k/+k3S6BtA==" spinCount="100000" sheet="1" objects="1" scenarios="1"/>
  <mergeCells count="11">
    <mergeCell ref="B1:L1"/>
    <mergeCell ref="B2:L2"/>
    <mergeCell ref="F30:G30"/>
    <mergeCell ref="I30:L30"/>
    <mergeCell ref="F31:G31"/>
    <mergeCell ref="I31:L31"/>
    <mergeCell ref="B39:B41"/>
    <mergeCell ref="E44:F44"/>
    <mergeCell ref="G44:H44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2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11"/>
  <sheetViews>
    <sheetView showGridLines="0" topLeftCell="A13" zoomScale="118" zoomScaleNormal="150" workbookViewId="0">
      <selection activeCell="M15" sqref="M15"/>
    </sheetView>
  </sheetViews>
  <sheetFormatPr baseColWidth="10" defaultColWidth="10.83203125" defaultRowHeight="15" x14ac:dyDescent="0.2"/>
  <cols>
    <col min="1" max="1" width="4.6640625" style="109" customWidth="1"/>
    <col min="2" max="2" width="10" style="109" customWidth="1"/>
    <col min="3" max="16384" width="10.83203125" style="109"/>
  </cols>
  <sheetData>
    <row r="1" spans="2:12" s="1" customFormat="1" ht="42" customHeight="1" x14ac:dyDescent="0.2">
      <c r="B1" s="622" t="s">
        <v>145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2" s="2" customFormat="1" ht="41" customHeight="1" x14ac:dyDescent="0.3">
      <c r="B2" s="623" t="str">
        <f>+ROUND(C29,1)&amp;""""&amp;" "&amp;F29&amp;" Aspect Ratio"</f>
        <v>96" 1,78 Aspect Ratio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2:12" s="1" customFormat="1" x14ac:dyDescent="0.2"/>
    <row r="4" spans="2:12" s="1" customFormat="1" x14ac:dyDescent="0.2"/>
    <row r="5" spans="2:12" s="1" customFormat="1" x14ac:dyDescent="0.2">
      <c r="F5" s="60">
        <f>+D29</f>
        <v>2438</v>
      </c>
    </row>
    <row r="6" spans="2:12" s="1" customFormat="1" x14ac:dyDescent="0.2">
      <c r="F6" s="155">
        <f>+F5/$F$34</f>
        <v>95.984251968503941</v>
      </c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1369.6629213483145</v>
      </c>
    </row>
    <row r="12" spans="2:12" s="1" customFormat="1" x14ac:dyDescent="0.2">
      <c r="E12" s="200">
        <f>+E11/$F$34</f>
        <v>53.923737060957265</v>
      </c>
      <c r="G12" s="4"/>
    </row>
    <row r="13" spans="2:12" s="1" customFormat="1" x14ac:dyDescent="0.2">
      <c r="K13" s="5">
        <f>+D32</f>
        <v>1369.6629213483145</v>
      </c>
    </row>
    <row r="14" spans="2:12" s="1" customFormat="1" x14ac:dyDescent="0.2">
      <c r="G14" s="60">
        <f>+D33</f>
        <v>2796.3941993425033</v>
      </c>
      <c r="K14" s="260">
        <f>+K13/$F$34</f>
        <v>53.923737060957265</v>
      </c>
    </row>
    <row r="15" spans="2:12" s="1" customFormat="1" x14ac:dyDescent="0.2">
      <c r="G15" s="79">
        <f>+G14/$F$34</f>
        <v>110.09425981663399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35</v>
      </c>
    </row>
    <row r="26" spans="2:12" s="1" customFormat="1" x14ac:dyDescent="0.2">
      <c r="F26" s="60">
        <f>+D31</f>
        <v>2438</v>
      </c>
      <c r="L26" s="229">
        <f>+L25/$F$34</f>
        <v>1.3779527559055118</v>
      </c>
    </row>
    <row r="27" spans="2:12" s="1" customFormat="1" ht="15" customHeight="1" thickBot="1" x14ac:dyDescent="0.25">
      <c r="F27" s="229">
        <f>+F26/$F$34</f>
        <v>95.984251968503941</v>
      </c>
    </row>
    <row r="28" spans="2:12" s="1" customFormat="1" x14ac:dyDescent="0.2">
      <c r="B28" s="6"/>
      <c r="C28" s="7" t="s">
        <v>3</v>
      </c>
      <c r="D28" s="156" t="s">
        <v>4</v>
      </c>
      <c r="E28" s="9" t="s">
        <v>5</v>
      </c>
      <c r="F28" s="583" t="s">
        <v>181</v>
      </c>
      <c r="G28" s="584"/>
      <c r="H28" s="9" t="s">
        <v>6</v>
      </c>
      <c r="I28" s="585">
        <f ca="1">NOW()</f>
        <v>46062.500802662034</v>
      </c>
      <c r="J28" s="585"/>
      <c r="K28" s="585"/>
      <c r="L28" s="586"/>
    </row>
    <row r="29" spans="2:12" ht="40" customHeight="1" x14ac:dyDescent="0.2">
      <c r="B29" s="150" t="s">
        <v>7</v>
      </c>
      <c r="C29" s="151">
        <f t="shared" ref="C29:C34" si="0">+D29/$F$34</f>
        <v>95.984251968503941</v>
      </c>
      <c r="D29" s="290">
        <v>2438</v>
      </c>
      <c r="E29" s="152" t="s">
        <v>8</v>
      </c>
      <c r="F29" s="587">
        <v>1.78</v>
      </c>
      <c r="G29" s="588"/>
      <c r="H29" s="153" t="s">
        <v>9</v>
      </c>
      <c r="I29" s="626"/>
      <c r="J29" s="626"/>
      <c r="K29" s="626"/>
      <c r="L29" s="627"/>
    </row>
    <row r="30" spans="2:12" s="1" customFormat="1" ht="40" customHeight="1" x14ac:dyDescent="0.2">
      <c r="B30" s="10" t="s">
        <v>10</v>
      </c>
      <c r="C30" s="157">
        <f t="shared" si="0"/>
        <v>53.923737060957265</v>
      </c>
      <c r="D30" s="121">
        <f>D29/F29</f>
        <v>1369.6629213483145</v>
      </c>
      <c r="E30" s="12" t="s">
        <v>11</v>
      </c>
      <c r="F30" s="617" t="s">
        <v>12</v>
      </c>
      <c r="G30" s="618"/>
      <c r="H30" s="12" t="s">
        <v>13</v>
      </c>
      <c r="I30" s="619"/>
      <c r="J30" s="620"/>
      <c r="K30" s="620"/>
      <c r="L30" s="621"/>
    </row>
    <row r="31" spans="2:12" s="1" customFormat="1" x14ac:dyDescent="0.2">
      <c r="B31" s="10" t="s">
        <v>14</v>
      </c>
      <c r="C31" s="157">
        <f t="shared" si="0"/>
        <v>95.984251968503941</v>
      </c>
      <c r="D31" s="124">
        <f>+D29+(2*F33)</f>
        <v>2438</v>
      </c>
      <c r="E31" s="12" t="s">
        <v>15</v>
      </c>
      <c r="F31" s="158" t="s">
        <v>12</v>
      </c>
      <c r="G31" s="1" t="s">
        <v>16</v>
      </c>
      <c r="L31" s="15"/>
    </row>
    <row r="32" spans="2:12" s="1" customFormat="1" x14ac:dyDescent="0.2">
      <c r="B32" s="10" t="s">
        <v>18</v>
      </c>
      <c r="C32" s="157">
        <f t="shared" si="0"/>
        <v>53.923737060957265</v>
      </c>
      <c r="D32" s="124">
        <f>+D30+(2*F33)</f>
        <v>1369.6629213483145</v>
      </c>
      <c r="E32" s="12" t="s">
        <v>19</v>
      </c>
      <c r="F32" s="159" t="s">
        <v>12</v>
      </c>
      <c r="G32" s="16"/>
      <c r="L32" s="15"/>
    </row>
    <row r="33" spans="2:12" s="1" customFormat="1" x14ac:dyDescent="0.2">
      <c r="B33" s="10" t="s">
        <v>21</v>
      </c>
      <c r="C33" s="157">
        <f t="shared" si="0"/>
        <v>110.09425981663399</v>
      </c>
      <c r="D33" s="124">
        <f>SQRT((D29^2)+(D30^2))</f>
        <v>2796.3941993425033</v>
      </c>
      <c r="E33" s="12" t="s">
        <v>22</v>
      </c>
      <c r="F33" s="160">
        <v>0</v>
      </c>
      <c r="G33" s="16"/>
      <c r="L33" s="15"/>
    </row>
    <row r="34" spans="2:12" s="1" customFormat="1" ht="16" customHeight="1" thickBot="1" x14ac:dyDescent="0.25">
      <c r="B34" s="17" t="s">
        <v>23</v>
      </c>
      <c r="C34" s="161">
        <f t="shared" si="0"/>
        <v>1.3779527559055118</v>
      </c>
      <c r="D34" s="162">
        <v>35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6" customHeight="1" x14ac:dyDescent="0.2">
      <c r="B35" s="86"/>
      <c r="C35" s="316"/>
      <c r="D35" s="317"/>
      <c r="E35" s="86"/>
      <c r="F35" s="210"/>
      <c r="L35" s="83"/>
    </row>
    <row r="36" spans="2:12" s="1" customFormat="1" ht="16" customHeight="1" thickBot="1" x14ac:dyDescent="0.25">
      <c r="B36" s="86"/>
      <c r="C36" s="316"/>
      <c r="D36" s="317"/>
      <c r="E36" s="86"/>
      <c r="F36" s="210"/>
      <c r="L36" s="83"/>
    </row>
    <row r="37" spans="2:12" s="1" customFormat="1" ht="16" customHeight="1" x14ac:dyDescent="0.2">
      <c r="B37" s="205"/>
      <c r="C37" s="207"/>
      <c r="D37" s="207"/>
      <c r="E37" s="207"/>
      <c r="F37" s="207"/>
      <c r="G37" s="207"/>
      <c r="H37" s="207"/>
      <c r="I37" s="207"/>
      <c r="J37" s="207"/>
      <c r="K37" s="207"/>
      <c r="L37" s="208"/>
    </row>
    <row r="38" spans="2:12" s="1" customFormat="1" ht="16" customHeight="1" x14ac:dyDescent="0.2">
      <c r="B38" s="209"/>
      <c r="C38" s="50" t="s">
        <v>48</v>
      </c>
      <c r="D38" s="55"/>
      <c r="E38" s="55"/>
      <c r="F38" s="55"/>
      <c r="G38" s="55"/>
      <c r="H38" s="55"/>
      <c r="I38" s="55"/>
      <c r="J38" s="55"/>
      <c r="K38" s="55"/>
      <c r="L38" s="215"/>
    </row>
    <row r="39" spans="2:12" s="1" customFormat="1" ht="7" customHeight="1" x14ac:dyDescent="0.2">
      <c r="B39" s="225"/>
      <c r="C39" s="54"/>
      <c r="L39" s="15"/>
    </row>
    <row r="40" spans="2:12" s="1" customFormat="1" ht="16" customHeight="1" x14ac:dyDescent="0.2">
      <c r="B40" s="209"/>
      <c r="C40" s="219"/>
      <c r="D40" s="322" t="s">
        <v>27</v>
      </c>
      <c r="E40" s="322" t="s">
        <v>3</v>
      </c>
      <c r="F40" s="322" t="s">
        <v>4</v>
      </c>
      <c r="L40" s="15"/>
    </row>
    <row r="41" spans="2:12" s="1" customFormat="1" ht="16" customHeight="1" x14ac:dyDescent="0.2">
      <c r="B41" s="209"/>
      <c r="C41" s="219" t="s">
        <v>29</v>
      </c>
      <c r="D41" s="323" t="s">
        <v>30</v>
      </c>
      <c r="E41" s="144">
        <v>130</v>
      </c>
      <c r="F41" s="144">
        <f>E41*25.4</f>
        <v>3302</v>
      </c>
      <c r="L41" s="15"/>
    </row>
    <row r="42" spans="2:12" s="1" customFormat="1" ht="16" customHeight="1" x14ac:dyDescent="0.2">
      <c r="B42" s="209"/>
      <c r="C42" s="219" t="s">
        <v>31</v>
      </c>
      <c r="D42" s="323" t="s">
        <v>49</v>
      </c>
      <c r="E42" s="144">
        <v>130</v>
      </c>
      <c r="F42" s="144">
        <f>E42*25.4</f>
        <v>3302</v>
      </c>
      <c r="L42" s="15"/>
    </row>
    <row r="43" spans="2:12" s="1" customFormat="1" ht="16" customHeight="1" x14ac:dyDescent="0.2">
      <c r="B43" s="209"/>
      <c r="L43" s="15"/>
    </row>
    <row r="44" spans="2:12" s="1" customFormat="1" ht="16" customHeight="1" x14ac:dyDescent="0.2">
      <c r="B44" s="209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15"/>
    </row>
    <row r="45" spans="2:12" s="1" customFormat="1" ht="16" customHeight="1" x14ac:dyDescent="0.2">
      <c r="B45" s="225"/>
      <c r="C45" s="1" t="s">
        <v>51</v>
      </c>
      <c r="L45" s="15"/>
    </row>
    <row r="46" spans="2:12" s="1" customFormat="1" hidden="1" x14ac:dyDescent="0.2">
      <c r="B46" s="209"/>
      <c r="C46" s="1" t="s">
        <v>52</v>
      </c>
      <c r="L46" s="15"/>
    </row>
    <row r="47" spans="2:12" s="1" customFormat="1" hidden="1" x14ac:dyDescent="0.2">
      <c r="B47" s="209"/>
      <c r="C47" s="1" t="s">
        <v>53</v>
      </c>
      <c r="L47" s="15"/>
    </row>
    <row r="48" spans="2:12" s="1" customFormat="1" x14ac:dyDescent="0.2">
      <c r="B48" s="209"/>
      <c r="C48" s="1" t="s">
        <v>54</v>
      </c>
      <c r="L48" s="15"/>
    </row>
    <row r="49" spans="2:12" s="1" customFormat="1" x14ac:dyDescent="0.2">
      <c r="B49" s="209"/>
      <c r="L49" s="15"/>
    </row>
    <row r="50" spans="2:12" s="1" customFormat="1" x14ac:dyDescent="0.2">
      <c r="B50" s="209"/>
      <c r="C50" s="50" t="s">
        <v>36</v>
      </c>
      <c r="D50" s="55"/>
      <c r="E50" s="55"/>
      <c r="F50" s="55"/>
      <c r="G50" s="55" t="s">
        <v>37</v>
      </c>
      <c r="H50" s="55"/>
      <c r="I50" s="55"/>
      <c r="J50" s="55"/>
      <c r="K50" s="55"/>
      <c r="L50" s="215"/>
    </row>
    <row r="51" spans="2:12" s="1" customFormat="1" x14ac:dyDescent="0.2">
      <c r="B51" s="225"/>
      <c r="C51" s="50"/>
      <c r="D51" s="55"/>
      <c r="E51" s="55"/>
      <c r="F51" s="55"/>
      <c r="L51" s="15"/>
    </row>
    <row r="52" spans="2:12" s="1" customFormat="1" x14ac:dyDescent="0.2">
      <c r="B52" s="209"/>
      <c r="C52" s="220" t="s">
        <v>38</v>
      </c>
      <c r="D52" s="324">
        <f>IF(C29&gt;199,2,1)</f>
        <v>1</v>
      </c>
      <c r="E52" s="143"/>
      <c r="F52" s="143"/>
      <c r="L52" s="15"/>
    </row>
    <row r="53" spans="2:12" s="1" customFormat="1" x14ac:dyDescent="0.2">
      <c r="B53" s="209"/>
      <c r="C53" s="220" t="s">
        <v>39</v>
      </c>
      <c r="D53" s="271">
        <f>IF(C29&gt;199, D32+350, D31/2+350)</f>
        <v>1569</v>
      </c>
      <c r="E53" s="143" t="s">
        <v>4</v>
      </c>
      <c r="F53" s="143" t="s">
        <v>40</v>
      </c>
      <c r="L53" s="15"/>
    </row>
    <row r="54" spans="2:12" s="1" customFormat="1" x14ac:dyDescent="0.2">
      <c r="B54" s="209"/>
      <c r="C54" s="220" t="s">
        <v>41</v>
      </c>
      <c r="D54" s="272">
        <v>350</v>
      </c>
      <c r="E54" s="143" t="s">
        <v>4</v>
      </c>
      <c r="F54" s="143" t="s">
        <v>40</v>
      </c>
      <c r="L54" s="15"/>
    </row>
    <row r="55" spans="2:12" s="1" customFormat="1" x14ac:dyDescent="0.2">
      <c r="B55" s="209"/>
      <c r="C55" s="220" t="s">
        <v>42</v>
      </c>
      <c r="D55" s="272">
        <v>259</v>
      </c>
      <c r="E55" s="143" t="s">
        <v>4</v>
      </c>
      <c r="F55" s="143" t="s">
        <v>40</v>
      </c>
      <c r="L55" s="15"/>
    </row>
    <row r="56" spans="2:12" s="1" customFormat="1" x14ac:dyDescent="0.2">
      <c r="B56" s="209"/>
      <c r="C56" s="220" t="s">
        <v>43</v>
      </c>
      <c r="D56" s="273">
        <f>IF(C29&lt;140,C29*0.16,C29*0.25)</f>
        <v>15.357480314960631</v>
      </c>
      <c r="E56" s="143" t="s">
        <v>44</v>
      </c>
      <c r="F56" s="143" t="s">
        <v>45</v>
      </c>
      <c r="L56" s="15"/>
    </row>
    <row r="57" spans="2:12" s="1" customFormat="1" x14ac:dyDescent="0.2">
      <c r="B57" s="209"/>
      <c r="L57" s="15"/>
    </row>
    <row r="58" spans="2:12" s="1" customFormat="1" x14ac:dyDescent="0.2">
      <c r="B58" s="209"/>
      <c r="L58" s="15"/>
    </row>
    <row r="59" spans="2:12" s="1" customFormat="1" x14ac:dyDescent="0.2">
      <c r="B59" s="209"/>
      <c r="L59" s="15"/>
    </row>
    <row r="60" spans="2:12" s="1" customFormat="1" x14ac:dyDescent="0.2">
      <c r="B60" s="209"/>
      <c r="C60" s="212"/>
      <c r="L60" s="15"/>
    </row>
    <row r="61" spans="2:12" s="1" customFormat="1" x14ac:dyDescent="0.2">
      <c r="B61" s="209"/>
      <c r="C61" s="212"/>
      <c r="L61" s="15"/>
    </row>
    <row r="62" spans="2:12" s="1" customFormat="1" x14ac:dyDescent="0.2">
      <c r="B62" s="209"/>
      <c r="C62" s="212"/>
      <c r="L62" s="15"/>
    </row>
    <row r="63" spans="2:12" s="1" customFormat="1" x14ac:dyDescent="0.2">
      <c r="B63" s="209"/>
      <c r="C63" s="212"/>
      <c r="L63" s="15"/>
    </row>
    <row r="64" spans="2:12" s="1" customFormat="1" x14ac:dyDescent="0.2">
      <c r="B64" s="209"/>
      <c r="C64" s="212"/>
      <c r="L64" s="15"/>
    </row>
    <row r="65" spans="2:12" s="1" customFormat="1" x14ac:dyDescent="0.2">
      <c r="B65" s="209"/>
      <c r="C65" s="212"/>
      <c r="L65" s="15"/>
    </row>
    <row r="66" spans="2:12" s="1" customFormat="1" x14ac:dyDescent="0.2">
      <c r="B66" s="209"/>
      <c r="C66" s="212"/>
      <c r="L66" s="15"/>
    </row>
    <row r="67" spans="2:12" s="1" customFormat="1" x14ac:dyDescent="0.2">
      <c r="B67" s="209"/>
      <c r="C67" s="212"/>
      <c r="L67" s="15"/>
    </row>
    <row r="68" spans="2:12" s="1" customFormat="1" x14ac:dyDescent="0.2">
      <c r="B68" s="209"/>
      <c r="C68" s="212"/>
      <c r="L68" s="15"/>
    </row>
    <row r="69" spans="2:12" s="1" customFormat="1" x14ac:dyDescent="0.2">
      <c r="B69" s="209"/>
      <c r="C69" s="212"/>
      <c r="L69" s="15"/>
    </row>
    <row r="70" spans="2:12" s="1" customFormat="1" x14ac:dyDescent="0.2">
      <c r="B70" s="209"/>
      <c r="C70" s="212"/>
      <c r="L70" s="15"/>
    </row>
    <row r="71" spans="2:12" s="1" customFormat="1" x14ac:dyDescent="0.2">
      <c r="B71" s="209"/>
      <c r="C71" s="212"/>
      <c r="L71" s="15"/>
    </row>
    <row r="72" spans="2:12" s="1" customFormat="1" x14ac:dyDescent="0.2">
      <c r="B72" s="209"/>
      <c r="C72" s="212"/>
      <c r="L72" s="15"/>
    </row>
    <row r="73" spans="2:12" s="1" customFormat="1" x14ac:dyDescent="0.2">
      <c r="B73" s="209"/>
      <c r="C73" s="212"/>
      <c r="L73" s="15"/>
    </row>
    <row r="74" spans="2:12" s="1" customFormat="1" x14ac:dyDescent="0.2">
      <c r="B74" s="209"/>
      <c r="C74" s="212"/>
      <c r="L74" s="15"/>
    </row>
    <row r="75" spans="2:12" s="1" customFormat="1" x14ac:dyDescent="0.2">
      <c r="B75" s="209"/>
      <c r="C75" s="212"/>
      <c r="L75" s="15"/>
    </row>
    <row r="76" spans="2:12" s="1" customFormat="1" x14ac:dyDescent="0.2">
      <c r="B76" s="209"/>
      <c r="C76" s="212"/>
      <c r="L76" s="15"/>
    </row>
    <row r="77" spans="2:12" s="1" customFormat="1" ht="16" thickBot="1" x14ac:dyDescent="0.25">
      <c r="B77" s="217"/>
      <c r="C77" s="321"/>
      <c r="D77" s="19"/>
      <c r="E77" s="19"/>
      <c r="F77" s="19"/>
      <c r="G77" s="19"/>
      <c r="H77" s="19"/>
      <c r="I77" s="19"/>
      <c r="J77" s="19"/>
      <c r="K77" s="19"/>
      <c r="L77" s="28"/>
    </row>
    <row r="78" spans="2:12" s="1" customFormat="1" x14ac:dyDescent="0.2">
      <c r="C78" s="165"/>
    </row>
    <row r="79" spans="2:12" s="1" customFormat="1" x14ac:dyDescent="0.2">
      <c r="C79" s="165"/>
    </row>
    <row r="80" spans="2:12" s="1" customFormat="1" x14ac:dyDescent="0.2">
      <c r="C80" s="165"/>
    </row>
    <row r="81" spans="3:3" s="1" customFormat="1" x14ac:dyDescent="0.2">
      <c r="C81" s="165"/>
    </row>
    <row r="82" spans="3:3" x14ac:dyDescent="0.2">
      <c r="C82" s="154"/>
    </row>
    <row r="83" spans="3:3" x14ac:dyDescent="0.2">
      <c r="C83" s="154"/>
    </row>
    <row r="84" spans="3:3" x14ac:dyDescent="0.2">
      <c r="C84" s="154"/>
    </row>
    <row r="85" spans="3:3" x14ac:dyDescent="0.2">
      <c r="C85" s="154"/>
    </row>
    <row r="86" spans="3:3" x14ac:dyDescent="0.2">
      <c r="C86" s="154"/>
    </row>
    <row r="87" spans="3:3" x14ac:dyDescent="0.2">
      <c r="C87" s="154"/>
    </row>
    <row r="88" spans="3:3" x14ac:dyDescent="0.2">
      <c r="C88" s="154"/>
    </row>
    <row r="89" spans="3:3" x14ac:dyDescent="0.2">
      <c r="C89" s="154"/>
    </row>
    <row r="90" spans="3:3" x14ac:dyDescent="0.2">
      <c r="C90" s="154"/>
    </row>
    <row r="91" spans="3:3" x14ac:dyDescent="0.2">
      <c r="C91" s="154"/>
    </row>
    <row r="92" spans="3:3" x14ac:dyDescent="0.2">
      <c r="C92" s="154"/>
    </row>
    <row r="93" spans="3:3" x14ac:dyDescent="0.2">
      <c r="C93" s="154"/>
    </row>
    <row r="94" spans="3:3" x14ac:dyDescent="0.2">
      <c r="C94" s="154"/>
    </row>
    <row r="95" spans="3:3" x14ac:dyDescent="0.2">
      <c r="C95" s="154"/>
    </row>
    <row r="96" spans="3:3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</sheetData>
  <sheetProtection algorithmName="SHA-512" hashValue="/BdPKwPqFEscp8Xgp9D+6SxQOTRCxheN47/hzOiyX/mGB7XieR37Wx6lsdm/jm01bNUr3d3RWBUUdTCLVnqsBg==" saltValue="7s7vRpOQuLMe7xQ9BDMMjA==" spinCount="100000" sheet="1" objects="1" scenarios="1"/>
  <mergeCells count="8">
    <mergeCell ref="B1:L1"/>
    <mergeCell ref="B2:L2"/>
    <mergeCell ref="F29:G29"/>
    <mergeCell ref="I29:L29"/>
    <mergeCell ref="F30:G30"/>
    <mergeCell ref="I30:L30"/>
    <mergeCell ref="F28:G28"/>
    <mergeCell ref="I28:L28"/>
  </mergeCells>
  <phoneticPr fontId="4" type="noConversion"/>
  <printOptions horizontalCentered="1" verticalCentered="1"/>
  <pageMargins left="0.39370078740157483" right="0.39370078740157483" top="0.39370078740157483" bottom="0.39370078740157483" header="0" footer="3.937007874015748E-2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98"/>
  <sheetViews>
    <sheetView showGridLines="0" showWhiteSpace="0" topLeftCell="A27" zoomScaleNormal="100" workbookViewId="0">
      <selection activeCell="F32" sqref="F32:G32"/>
    </sheetView>
  </sheetViews>
  <sheetFormatPr baseColWidth="10" defaultColWidth="10.83203125" defaultRowHeight="15" x14ac:dyDescent="0.2"/>
  <cols>
    <col min="1" max="1" width="8.1640625" style="99" customWidth="1"/>
    <col min="2" max="2" width="10" style="99" customWidth="1"/>
    <col min="3" max="16384" width="10.83203125" style="99"/>
  </cols>
  <sheetData>
    <row r="1" spans="2:12" ht="38" customHeight="1" x14ac:dyDescent="0.2">
      <c r="B1" s="581" t="s">
        <v>61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</row>
    <row r="2" spans="2:12" s="100" customFormat="1" ht="38" customHeight="1" x14ac:dyDescent="0.3">
      <c r="B2" s="582" t="str">
        <f>+ROUND(C31,1)&amp;""""&amp;" "&amp;ROUND(F31,2)&amp;" Aspect Ratio"</f>
        <v>170" 2,4 Aspect Ratio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</row>
    <row r="3" spans="2:12" s="100" customFormat="1" ht="38" customHeight="1" x14ac:dyDescent="0.3">
      <c r="B3" s="366"/>
      <c r="C3" s="366"/>
      <c r="D3" s="366"/>
      <c r="E3" s="366"/>
      <c r="F3" s="366"/>
      <c r="G3" s="40">
        <f>+D31</f>
        <v>4318</v>
      </c>
      <c r="H3" s="366"/>
      <c r="I3" s="366"/>
      <c r="J3" s="366"/>
      <c r="K3" s="366"/>
      <c r="L3" s="366"/>
    </row>
    <row r="4" spans="2:12" ht="34" customHeight="1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x14ac:dyDescent="0.2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x14ac:dyDescent="0.2">
      <c r="B6" s="112"/>
      <c r="C6" s="112"/>
      <c r="D6" s="112"/>
      <c r="E6" s="112"/>
      <c r="G6" s="112"/>
      <c r="H6" s="112"/>
      <c r="I6" s="112"/>
      <c r="J6" s="112"/>
      <c r="K6" s="112"/>
      <c r="L6" s="112"/>
    </row>
    <row r="7" spans="2:12" x14ac:dyDescent="0.2">
      <c r="B7" s="112"/>
      <c r="C7" s="112"/>
      <c r="D7" s="112"/>
      <c r="E7" s="112"/>
      <c r="F7" s="3"/>
      <c r="G7" s="112"/>
      <c r="H7" s="112"/>
      <c r="I7" s="112"/>
      <c r="J7" s="112"/>
      <c r="K7" s="112"/>
      <c r="L7" s="112"/>
    </row>
    <row r="8" spans="2:12" x14ac:dyDescent="0.2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2:12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2:12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2:12" x14ac:dyDescent="0.2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2:12" x14ac:dyDescent="0.2">
      <c r="B12" s="112"/>
      <c r="C12" s="112"/>
      <c r="D12" s="112"/>
      <c r="E12" s="60">
        <f>+D32</f>
        <v>1799.1666666666667</v>
      </c>
      <c r="F12" s="112"/>
      <c r="G12" s="112"/>
      <c r="H12" s="112"/>
      <c r="I12" s="112"/>
      <c r="J12" s="112"/>
      <c r="K12" s="112"/>
      <c r="L12" s="112"/>
    </row>
    <row r="13" spans="2:12" x14ac:dyDescent="0.2">
      <c r="B13" s="112"/>
      <c r="C13" s="112"/>
      <c r="D13" s="112"/>
      <c r="E13" s="90"/>
      <c r="F13" s="112"/>
      <c r="G13" s="113"/>
      <c r="H13" s="112"/>
      <c r="I13" s="112"/>
      <c r="J13" s="112"/>
      <c r="K13" s="112"/>
      <c r="L13" s="112"/>
    </row>
    <row r="14" spans="2:12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5">
        <f>+D34</f>
        <v>1987.1666666666667</v>
      </c>
      <c r="L14" s="112"/>
    </row>
    <row r="15" spans="2:12" ht="32" x14ac:dyDescent="0.2">
      <c r="B15" s="112"/>
      <c r="C15" s="112"/>
      <c r="D15" s="112"/>
      <c r="E15" s="112"/>
      <c r="F15" s="112"/>
      <c r="G15" s="411">
        <f>+D35</f>
        <v>4677.833333333333</v>
      </c>
      <c r="H15" s="112"/>
      <c r="I15" s="112"/>
      <c r="J15" s="112"/>
      <c r="K15" s="114"/>
      <c r="L15" s="112"/>
    </row>
    <row r="16" spans="2:12" x14ac:dyDescent="0.2">
      <c r="B16" s="112"/>
      <c r="C16" s="112"/>
      <c r="D16" s="112"/>
      <c r="E16" s="112"/>
      <c r="F16" s="112"/>
      <c r="G16" s="90"/>
      <c r="H16" s="112"/>
      <c r="I16" s="112"/>
      <c r="J16" s="112"/>
      <c r="K16" s="112"/>
      <c r="L16" s="112"/>
    </row>
    <row r="17" spans="2:12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2:12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2:12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2:12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2:12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2:12" x14ac:dyDescent="0.2">
      <c r="B22" s="112"/>
      <c r="C22" s="112"/>
      <c r="D22" s="112"/>
      <c r="E22" s="112"/>
      <c r="F22" s="115"/>
      <c r="G22" s="112"/>
      <c r="H22" s="112"/>
      <c r="I22" s="112"/>
      <c r="J22" s="112"/>
      <c r="K22" s="112"/>
      <c r="L22" s="112"/>
    </row>
    <row r="23" spans="2:12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2:12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2:12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2:12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60">
        <f>+D36</f>
        <v>60</v>
      </c>
    </row>
    <row r="27" spans="2:12" x14ac:dyDescent="0.2">
      <c r="B27" s="112"/>
      <c r="C27" s="112"/>
      <c r="D27" s="112"/>
      <c r="E27" s="112"/>
      <c r="F27" s="60">
        <f>+D33</f>
        <v>4506</v>
      </c>
      <c r="G27" s="112"/>
      <c r="H27" s="112"/>
      <c r="I27" s="112"/>
      <c r="J27" s="112"/>
      <c r="K27" s="112"/>
      <c r="L27" s="90"/>
    </row>
    <row r="28" spans="2:12" x14ac:dyDescent="0.2">
      <c r="B28" s="112"/>
      <c r="C28" s="112"/>
      <c r="D28" s="112"/>
      <c r="E28" s="112"/>
      <c r="F28" s="3"/>
      <c r="G28" s="112"/>
      <c r="H28" s="112"/>
      <c r="I28" s="112"/>
      <c r="J28" s="112"/>
      <c r="K28" s="112"/>
      <c r="L28" s="112"/>
    </row>
    <row r="29" spans="2:12" ht="16" thickBot="1" x14ac:dyDescent="0.25">
      <c r="B29" s="112"/>
      <c r="C29" s="112"/>
      <c r="D29" s="112"/>
      <c r="E29" s="112"/>
      <c r="F29" s="3"/>
      <c r="G29" s="112"/>
      <c r="H29" s="112"/>
      <c r="I29" s="112"/>
      <c r="J29" s="112"/>
      <c r="K29" s="112"/>
      <c r="L29" s="112"/>
    </row>
    <row r="30" spans="2:12" ht="21" customHeight="1" x14ac:dyDescent="0.2">
      <c r="B30" s="101"/>
      <c r="C30" s="102" t="s">
        <v>3</v>
      </c>
      <c r="D30" s="103" t="s">
        <v>4</v>
      </c>
      <c r="E30" s="104"/>
      <c r="F30" s="629"/>
      <c r="G30" s="630"/>
      <c r="H30" s="104" t="s">
        <v>6</v>
      </c>
      <c r="I30" s="631">
        <f ca="1">NOW()</f>
        <v>46062.500802662034</v>
      </c>
      <c r="J30" s="631"/>
      <c r="K30" s="631"/>
      <c r="L30" s="632"/>
    </row>
    <row r="31" spans="2:12" ht="33" customHeight="1" x14ac:dyDescent="0.2">
      <c r="B31" s="105" t="s">
        <v>7</v>
      </c>
      <c r="C31" s="106">
        <f t="shared" ref="C31:C36" si="0">+D31/$F$36</f>
        <v>170</v>
      </c>
      <c r="D31" s="397">
        <v>4318</v>
      </c>
      <c r="E31" s="107" t="s">
        <v>8</v>
      </c>
      <c r="F31" s="637">
        <v>2.4</v>
      </c>
      <c r="G31" s="638"/>
      <c r="H31" s="108" t="s">
        <v>9</v>
      </c>
      <c r="I31" s="639"/>
      <c r="J31" s="639"/>
      <c r="K31" s="639"/>
      <c r="L31" s="640"/>
    </row>
    <row r="32" spans="2:12" ht="31" customHeight="1" x14ac:dyDescent="0.2">
      <c r="B32" s="120" t="s">
        <v>10</v>
      </c>
      <c r="C32" s="22">
        <f t="shared" si="0"/>
        <v>70.833333333333343</v>
      </c>
      <c r="D32" s="121">
        <f>D31/F31</f>
        <v>1799.1666666666667</v>
      </c>
      <c r="E32" s="122" t="s">
        <v>11</v>
      </c>
      <c r="F32" s="653" t="s">
        <v>12</v>
      </c>
      <c r="G32" s="654"/>
      <c r="H32" s="123" t="s">
        <v>13</v>
      </c>
      <c r="I32" s="655"/>
      <c r="J32" s="656"/>
      <c r="K32" s="656"/>
      <c r="L32" s="657"/>
    </row>
    <row r="33" spans="2:12" x14ac:dyDescent="0.2">
      <c r="B33" s="120" t="s">
        <v>14</v>
      </c>
      <c r="C33" s="22">
        <f t="shared" si="0"/>
        <v>177.40157480314963</v>
      </c>
      <c r="D33" s="124">
        <f>+D31+(2*F35)</f>
        <v>4506</v>
      </c>
      <c r="E33" s="122" t="s">
        <v>15</v>
      </c>
      <c r="F33" s="125" t="s">
        <v>12</v>
      </c>
      <c r="G33" s="112" t="s">
        <v>16</v>
      </c>
      <c r="H33" s="112"/>
      <c r="I33" s="112"/>
      <c r="J33" s="112"/>
      <c r="K33" s="112"/>
      <c r="L33" s="126" t="s">
        <v>17</v>
      </c>
    </row>
    <row r="34" spans="2:12" x14ac:dyDescent="0.2">
      <c r="B34" s="120" t="s">
        <v>18</v>
      </c>
      <c r="C34" s="22">
        <f t="shared" si="0"/>
        <v>78.234908136482943</v>
      </c>
      <c r="D34" s="124">
        <f>+D32+(2*F35)</f>
        <v>1987.1666666666667</v>
      </c>
      <c r="E34" s="122" t="s">
        <v>19</v>
      </c>
      <c r="F34" s="127" t="s">
        <v>12</v>
      </c>
      <c r="G34" s="647"/>
      <c r="H34" s="648"/>
      <c r="I34" s="648"/>
      <c r="J34" s="648"/>
      <c r="K34" s="648"/>
      <c r="L34" s="649"/>
    </row>
    <row r="35" spans="2:12" x14ac:dyDescent="0.2">
      <c r="B35" s="120" t="s">
        <v>21</v>
      </c>
      <c r="C35" s="22">
        <f t="shared" si="0"/>
        <v>184.16666666666666</v>
      </c>
      <c r="D35" s="124">
        <f>SQRT((D31^2)+(D32^2))</f>
        <v>4677.833333333333</v>
      </c>
      <c r="E35" s="122" t="s">
        <v>22</v>
      </c>
      <c r="F35" s="128">
        <v>94</v>
      </c>
      <c r="G35" s="647"/>
      <c r="H35" s="648"/>
      <c r="I35" s="648"/>
      <c r="J35" s="648"/>
      <c r="K35" s="648"/>
      <c r="L35" s="649"/>
    </row>
    <row r="36" spans="2:12" ht="16" thickBot="1" x14ac:dyDescent="0.25">
      <c r="B36" s="129" t="s">
        <v>23</v>
      </c>
      <c r="C36" s="25">
        <f t="shared" si="0"/>
        <v>2.3622047244094491</v>
      </c>
      <c r="D36" s="130">
        <f>IF(D31&lt;4572,60, IF(D31&lt;7624,80,100))</f>
        <v>60</v>
      </c>
      <c r="E36" s="131" t="s">
        <v>24</v>
      </c>
      <c r="F36" s="132">
        <v>25.4</v>
      </c>
      <c r="G36" s="650"/>
      <c r="H36" s="651"/>
      <c r="I36" s="651"/>
      <c r="J36" s="651"/>
      <c r="K36" s="651"/>
      <c r="L36" s="652"/>
    </row>
    <row r="37" spans="2:12" ht="16" thickBot="1" x14ac:dyDescent="0.25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s="109" customFormat="1" ht="16" customHeight="1" x14ac:dyDescent="0.2">
      <c r="B38" s="205"/>
      <c r="C38" s="406" t="s">
        <v>25</v>
      </c>
      <c r="D38" s="207"/>
      <c r="E38" s="207"/>
      <c r="F38" s="207"/>
      <c r="G38" s="207"/>
      <c r="H38" s="207"/>
      <c r="I38" s="207"/>
      <c r="J38" s="207"/>
      <c r="K38" s="207"/>
      <c r="L38" s="208"/>
    </row>
    <row r="39" spans="2:12" s="109" customFormat="1" ht="16" customHeight="1" thickBot="1" x14ac:dyDescent="0.25">
      <c r="B39" s="209"/>
      <c r="C39" s="54" t="s">
        <v>26</v>
      </c>
      <c r="D39" s="1"/>
      <c r="E39" s="641" t="s">
        <v>27</v>
      </c>
      <c r="F39" s="641"/>
      <c r="G39" s="56" t="s">
        <v>3</v>
      </c>
      <c r="H39" s="56" t="s">
        <v>4</v>
      </c>
      <c r="I39" s="1"/>
      <c r="J39" s="1"/>
      <c r="K39" s="1"/>
      <c r="L39" s="15"/>
    </row>
    <row r="40" spans="2:12" s="109" customFormat="1" ht="16" customHeight="1" x14ac:dyDescent="0.2">
      <c r="B40" s="209"/>
      <c r="C40" s="642" t="s">
        <v>28</v>
      </c>
      <c r="D40" s="643"/>
      <c r="E40" s="399" t="s">
        <v>29</v>
      </c>
      <c r="F40" s="400" t="s">
        <v>30</v>
      </c>
      <c r="G40" s="399">
        <v>200</v>
      </c>
      <c r="H40" s="401">
        <f t="shared" ref="H40:H43" si="1">G40*25.4</f>
        <v>5080</v>
      </c>
      <c r="I40" s="1"/>
      <c r="J40" s="1"/>
      <c r="K40" s="1"/>
      <c r="L40" s="15"/>
    </row>
    <row r="41" spans="2:12" s="109" customFormat="1" ht="16" customHeight="1" x14ac:dyDescent="0.2">
      <c r="B41" s="209"/>
      <c r="C41" s="644"/>
      <c r="D41" s="645"/>
      <c r="E41" s="134" t="s">
        <v>31</v>
      </c>
      <c r="F41" s="135" t="s">
        <v>32</v>
      </c>
      <c r="G41" s="134">
        <v>280</v>
      </c>
      <c r="H41" s="402">
        <f t="shared" si="1"/>
        <v>7112</v>
      </c>
      <c r="I41" s="1"/>
      <c r="J41" s="1"/>
      <c r="K41" s="1"/>
      <c r="L41" s="15"/>
    </row>
    <row r="42" spans="2:12" s="109" customFormat="1" ht="16" customHeight="1" x14ac:dyDescent="0.2">
      <c r="B42" s="209"/>
      <c r="C42" s="633" t="s">
        <v>62</v>
      </c>
      <c r="D42" s="646"/>
      <c r="E42" s="136" t="s">
        <v>29</v>
      </c>
      <c r="F42" s="137" t="s">
        <v>30</v>
      </c>
      <c r="G42" s="136">
        <v>315</v>
      </c>
      <c r="H42" s="403">
        <f t="shared" si="1"/>
        <v>8001</v>
      </c>
      <c r="I42" s="1"/>
      <c r="J42" s="1"/>
      <c r="K42" s="1"/>
      <c r="L42" s="15"/>
    </row>
    <row r="43" spans="2:12" s="109" customFormat="1" ht="16" customHeight="1" x14ac:dyDescent="0.2">
      <c r="B43" s="209"/>
      <c r="C43" s="644"/>
      <c r="D43" s="645"/>
      <c r="E43" s="134" t="s">
        <v>31</v>
      </c>
      <c r="F43" s="135" t="s">
        <v>32</v>
      </c>
      <c r="G43" s="134">
        <v>425</v>
      </c>
      <c r="H43" s="402">
        <f t="shared" si="1"/>
        <v>10795</v>
      </c>
      <c r="I43" s="1"/>
      <c r="J43" s="1"/>
      <c r="K43" s="1"/>
      <c r="L43" s="15"/>
    </row>
    <row r="44" spans="2:12" s="109" customFormat="1" ht="16" customHeight="1" x14ac:dyDescent="0.2">
      <c r="B44" s="209"/>
      <c r="C44" s="633" t="s">
        <v>260</v>
      </c>
      <c r="D44" s="634"/>
      <c r="E44" s="136" t="s">
        <v>29</v>
      </c>
      <c r="F44" s="137" t="s">
        <v>30</v>
      </c>
      <c r="G44" s="398">
        <v>140</v>
      </c>
      <c r="H44" s="407">
        <f>G44*25.4</f>
        <v>3556</v>
      </c>
      <c r="I44" s="1"/>
      <c r="J44" s="1"/>
      <c r="K44" s="1"/>
      <c r="L44" s="15"/>
    </row>
    <row r="45" spans="2:12" s="109" customFormat="1" ht="16" customHeight="1" x14ac:dyDescent="0.2">
      <c r="B45" s="209"/>
      <c r="C45" s="635"/>
      <c r="D45" s="636"/>
      <c r="E45" s="134" t="s">
        <v>31</v>
      </c>
      <c r="F45" s="135" t="s">
        <v>32</v>
      </c>
      <c r="G45" s="134">
        <v>190</v>
      </c>
      <c r="H45" s="408">
        <f>G45*25.4</f>
        <v>4826</v>
      </c>
      <c r="I45" s="1"/>
      <c r="J45" s="1"/>
      <c r="K45" s="1"/>
      <c r="L45" s="15"/>
    </row>
    <row r="46" spans="2:12" s="109" customFormat="1" ht="16" customHeight="1" x14ac:dyDescent="0.2">
      <c r="B46" s="209"/>
      <c r="C46" s="663" t="s">
        <v>165</v>
      </c>
      <c r="D46" s="664"/>
      <c r="E46" s="136" t="s">
        <v>29</v>
      </c>
      <c r="F46" s="137" t="s">
        <v>30</v>
      </c>
      <c r="G46" s="136">
        <v>120</v>
      </c>
      <c r="H46" s="410">
        <f>G46*25.4</f>
        <v>3048</v>
      </c>
      <c r="I46" s="1"/>
      <c r="J46" s="1"/>
      <c r="K46" s="1"/>
      <c r="L46" s="15"/>
    </row>
    <row r="47" spans="2:12" ht="16" thickBot="1" x14ac:dyDescent="0.25">
      <c r="B47" s="274"/>
      <c r="C47" s="665"/>
      <c r="D47" s="666"/>
      <c r="E47" s="404" t="s">
        <v>31</v>
      </c>
      <c r="F47" s="405" t="s">
        <v>32</v>
      </c>
      <c r="G47" s="404">
        <v>160</v>
      </c>
      <c r="H47" s="409">
        <f>G47*25.4</f>
        <v>4064</v>
      </c>
      <c r="I47" s="112"/>
      <c r="J47" s="112"/>
      <c r="K47" s="112"/>
      <c r="L47" s="275"/>
    </row>
    <row r="48" spans="2:12" ht="17" thickBot="1" x14ac:dyDescent="0.25">
      <c r="B48" s="274"/>
      <c r="C48" s="424"/>
      <c r="D48" s="424"/>
      <c r="E48" s="52"/>
      <c r="F48" s="133"/>
      <c r="G48" s="52"/>
      <c r="H48" s="32"/>
      <c r="I48" s="112"/>
      <c r="J48" s="112"/>
      <c r="K48" s="112"/>
      <c r="L48" s="275"/>
    </row>
    <row r="49" spans="2:12" ht="16" thickBot="1" x14ac:dyDescent="0.25">
      <c r="B49" s="274"/>
      <c r="C49" s="608" t="s">
        <v>169</v>
      </c>
      <c r="D49" s="1" t="s">
        <v>177</v>
      </c>
      <c r="E49" s="1"/>
      <c r="F49" s="552"/>
      <c r="G49" s="52"/>
      <c r="H49" s="32"/>
      <c r="I49" s="112"/>
      <c r="J49" s="112"/>
      <c r="K49" s="112"/>
      <c r="L49" s="275"/>
    </row>
    <row r="50" spans="2:12" ht="17" thickBot="1" x14ac:dyDescent="0.25">
      <c r="B50" s="274"/>
      <c r="C50" s="609"/>
      <c r="D50" s="662" t="s">
        <v>289</v>
      </c>
      <c r="E50" s="661"/>
      <c r="F50" s="552" t="s">
        <v>302</v>
      </c>
      <c r="G50" s="52"/>
      <c r="H50" s="32"/>
      <c r="I50" s="559"/>
      <c r="J50" s="112"/>
      <c r="K50" s="112"/>
      <c r="L50" s="275"/>
    </row>
    <row r="51" spans="2:12" ht="17" thickBot="1" x14ac:dyDescent="0.25">
      <c r="B51" s="274"/>
      <c r="C51" s="609"/>
      <c r="D51" s="660" t="s">
        <v>178</v>
      </c>
      <c r="E51" s="661"/>
      <c r="F51" s="552"/>
      <c r="G51" s="52"/>
      <c r="H51" s="32"/>
      <c r="I51" s="112"/>
      <c r="J51" s="551"/>
      <c r="K51" s="112"/>
      <c r="L51" s="275"/>
    </row>
    <row r="52" spans="2:12" ht="17" thickBot="1" x14ac:dyDescent="0.25">
      <c r="B52" s="274"/>
      <c r="C52" s="426"/>
      <c r="D52" s="658"/>
      <c r="E52" s="659"/>
      <c r="F52" s="558"/>
      <c r="G52" s="112"/>
      <c r="H52" s="112"/>
      <c r="I52" s="112"/>
      <c r="J52" s="112"/>
      <c r="K52" s="112"/>
      <c r="L52" s="275"/>
    </row>
    <row r="53" spans="2:12" ht="16" x14ac:dyDescent="0.2">
      <c r="B53" s="274"/>
      <c r="C53" s="427"/>
      <c r="D53" s="425"/>
      <c r="E53" s="302"/>
      <c r="F53" s="428"/>
      <c r="G53" s="112"/>
      <c r="H53" s="112"/>
      <c r="I53" s="112"/>
      <c r="J53" s="112"/>
      <c r="K53" s="112"/>
      <c r="L53" s="275"/>
    </row>
    <row r="54" spans="2:12" x14ac:dyDescent="0.2">
      <c r="B54" s="274"/>
      <c r="C54" s="138" t="s">
        <v>33</v>
      </c>
      <c r="D54" s="139"/>
      <c r="E54" s="139"/>
      <c r="F54" s="139"/>
      <c r="G54" s="139"/>
      <c r="H54" s="139"/>
      <c r="I54" s="139"/>
      <c r="J54" s="139"/>
      <c r="K54" s="139"/>
      <c r="L54" s="276"/>
    </row>
    <row r="55" spans="2:12" x14ac:dyDescent="0.2">
      <c r="B55" s="274"/>
      <c r="C55" s="112" t="s">
        <v>63</v>
      </c>
      <c r="D55" s="112"/>
      <c r="E55" s="112"/>
      <c r="F55" s="112"/>
      <c r="G55" s="112"/>
      <c r="H55" s="112"/>
      <c r="I55" s="112"/>
      <c r="J55" s="112"/>
      <c r="K55" s="112"/>
      <c r="L55" s="275"/>
    </row>
    <row r="56" spans="2:12" x14ac:dyDescent="0.2">
      <c r="B56" s="274"/>
      <c r="C56" s="112" t="s">
        <v>35</v>
      </c>
      <c r="D56" s="112"/>
      <c r="E56" s="112"/>
      <c r="F56" s="112"/>
      <c r="G56" s="112"/>
      <c r="H56" s="112"/>
      <c r="I56" s="112"/>
      <c r="J56" s="112"/>
      <c r="K56" s="112"/>
      <c r="L56" s="275"/>
    </row>
    <row r="57" spans="2:12" x14ac:dyDescent="0.2">
      <c r="B57" s="274"/>
      <c r="C57" s="112" t="s">
        <v>64</v>
      </c>
      <c r="D57" s="112"/>
      <c r="E57" s="112"/>
      <c r="F57" s="112"/>
      <c r="G57" s="112"/>
      <c r="H57" s="112"/>
      <c r="I57" s="112"/>
      <c r="J57" s="112"/>
      <c r="K57" s="112"/>
      <c r="L57" s="275"/>
    </row>
    <row r="58" spans="2:12" x14ac:dyDescent="0.2">
      <c r="B58" s="274"/>
      <c r="C58" s="112" t="s">
        <v>65</v>
      </c>
      <c r="D58" s="112"/>
      <c r="E58" s="112"/>
      <c r="F58" s="112"/>
      <c r="G58" s="112"/>
      <c r="H58" s="112"/>
      <c r="I58" s="112"/>
      <c r="J58" s="112"/>
      <c r="K58" s="112"/>
      <c r="L58" s="275"/>
    </row>
    <row r="59" spans="2:12" x14ac:dyDescent="0.2">
      <c r="B59" s="274"/>
      <c r="C59" s="112"/>
      <c r="D59" s="112"/>
      <c r="E59" s="112"/>
      <c r="F59" s="112"/>
      <c r="G59" s="112"/>
      <c r="H59" s="112"/>
      <c r="I59" s="112"/>
      <c r="J59" s="112"/>
      <c r="K59" s="112"/>
      <c r="L59" s="275"/>
    </row>
    <row r="60" spans="2:12" s="109" customFormat="1" x14ac:dyDescent="0.2">
      <c r="B60" s="209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15"/>
    </row>
    <row r="61" spans="2:12" s="109" customFormat="1" x14ac:dyDescent="0.2">
      <c r="B61" s="209"/>
      <c r="C61" s="220" t="s">
        <v>38</v>
      </c>
      <c r="D61" s="324">
        <f>IF(C31&gt;199,2,1)</f>
        <v>1</v>
      </c>
      <c r="E61" s="143"/>
      <c r="F61" s="143"/>
      <c r="G61" s="1"/>
      <c r="H61" s="1"/>
      <c r="I61" s="1"/>
      <c r="J61" s="1"/>
      <c r="K61" s="1"/>
      <c r="L61" s="15"/>
    </row>
    <row r="62" spans="2:12" s="109" customFormat="1" x14ac:dyDescent="0.2">
      <c r="B62" s="209"/>
      <c r="C62" s="220" t="s">
        <v>39</v>
      </c>
      <c r="D62" s="271">
        <f>IF(C31&gt;199, D34+350, D33/2+350)</f>
        <v>2603</v>
      </c>
      <c r="E62" s="143" t="s">
        <v>4</v>
      </c>
      <c r="F62" s="143" t="s">
        <v>40</v>
      </c>
      <c r="G62" s="1"/>
      <c r="H62" s="1"/>
      <c r="I62" s="1"/>
      <c r="J62" s="1"/>
      <c r="K62" s="1"/>
      <c r="L62" s="15"/>
    </row>
    <row r="63" spans="2:12" s="109" customFormat="1" x14ac:dyDescent="0.2">
      <c r="B63" s="209"/>
      <c r="C63" s="220" t="s">
        <v>41</v>
      </c>
      <c r="D63" s="272">
        <v>250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x14ac:dyDescent="0.2">
      <c r="B64" s="209"/>
      <c r="C64" s="220" t="s">
        <v>42</v>
      </c>
      <c r="D64" s="272">
        <v>350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x14ac:dyDescent="0.2">
      <c r="B65" s="209"/>
      <c r="C65" s="220" t="s">
        <v>43</v>
      </c>
      <c r="D65" s="273">
        <f>IF(C31&lt;140,C31*0.3,C31*0.3)</f>
        <v>51</v>
      </c>
      <c r="E65" s="143" t="s">
        <v>44</v>
      </c>
      <c r="F65" s="143" t="s">
        <v>45</v>
      </c>
      <c r="G65" s="1"/>
      <c r="H65" s="1"/>
      <c r="I65" s="1"/>
      <c r="J65" s="1"/>
      <c r="K65" s="1"/>
      <c r="L65" s="15"/>
    </row>
    <row r="66" spans="2:12" ht="16" thickBot="1" x14ac:dyDescent="0.25">
      <c r="B66" s="278"/>
      <c r="C66" s="279"/>
      <c r="D66" s="280"/>
      <c r="E66" s="280"/>
      <c r="F66" s="280"/>
      <c r="G66" s="280"/>
      <c r="H66" s="280"/>
      <c r="I66" s="280"/>
      <c r="J66" s="280"/>
      <c r="K66" s="280"/>
      <c r="L66" s="281"/>
    </row>
    <row r="67" spans="2:12" x14ac:dyDescent="0.2">
      <c r="B67" s="112"/>
      <c r="C67" s="141"/>
      <c r="D67" s="112"/>
      <c r="E67" s="14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</sheetData>
  <sheetProtection algorithmName="SHA-512" hashValue="Ob4Al8LmAowfxNu+yP0FqudZ0cHkkxHaA+dk63IzsIJk10Nxld1+IN6T0Ocs7MOQ+aG799Q73o5hLoU2OZPfSg==" saltValue="sBse8dzOI174UgRJRO/jAw==" spinCount="100000" sheet="1" objects="1" scenarios="1"/>
  <mergeCells count="18">
    <mergeCell ref="C49:C51"/>
    <mergeCell ref="D52:E52"/>
    <mergeCell ref="D51:E51"/>
    <mergeCell ref="D50:E50"/>
    <mergeCell ref="C46:D47"/>
    <mergeCell ref="C44:D45"/>
    <mergeCell ref="B1:L1"/>
    <mergeCell ref="B2:L2"/>
    <mergeCell ref="F30:G30"/>
    <mergeCell ref="I30:L30"/>
    <mergeCell ref="F31:G31"/>
    <mergeCell ref="I31:L31"/>
    <mergeCell ref="E39:F39"/>
    <mergeCell ref="C40:D41"/>
    <mergeCell ref="C42:D43"/>
    <mergeCell ref="G34:L36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.05"/>
  <pageSetup paperSize="9" scale="51" orientation="portrait" horizontalDpi="4294967292" verticalDpi="4294967292" r:id="rId1"/>
  <headerFooter>
    <oddHeader>&amp;C&amp;"Calibri,Bold"&amp;14&amp;K000000Screen Excellence</oddHeader>
  </headerFooter>
  <rowBreaks count="1" manualBreakCount="1">
    <brk id="66" min="1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80"/>
  <sheetViews>
    <sheetView showGridLines="0" topLeftCell="A4" zoomScaleNormal="100" workbookViewId="0">
      <selection activeCell="K6" sqref="K6"/>
    </sheetView>
  </sheetViews>
  <sheetFormatPr baseColWidth="10" defaultColWidth="10.83203125" defaultRowHeight="15" x14ac:dyDescent="0.2"/>
  <cols>
    <col min="1" max="1" width="10.83203125" style="109"/>
    <col min="2" max="2" width="14.33203125" style="109" customWidth="1"/>
    <col min="3" max="7" width="10.83203125" style="109"/>
    <col min="8" max="8" width="13.5" style="109" customWidth="1"/>
    <col min="9" max="9" width="15.5" style="109" customWidth="1"/>
    <col min="10" max="16384" width="10.83203125" style="109"/>
  </cols>
  <sheetData>
    <row r="2" spans="1:12" ht="42" customHeight="1" x14ac:dyDescent="0.2">
      <c r="B2" s="622" t="s">
        <v>66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1:12" s="145" customFormat="1" ht="42" customHeight="1" x14ac:dyDescent="0.3">
      <c r="B3" s="623" t="str">
        <f>+ROUND(C33,1)&amp;""""&amp;" "&amp;F33&amp;" Aspect Ratio"</f>
        <v>130,8" 1,78 Aspect Ratio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1:12" s="145" customFormat="1" ht="42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145" customFormat="1" ht="42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145" customFormat="1" ht="42" customHeigh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x14ac:dyDescent="0.2">
      <c r="B7" s="1"/>
      <c r="C7" s="1"/>
      <c r="D7" s="1"/>
      <c r="E7" s="1"/>
      <c r="G7" s="1"/>
      <c r="H7" s="1"/>
      <c r="I7" s="1"/>
      <c r="J7" s="1"/>
      <c r="K7" s="1"/>
      <c r="L7" s="1"/>
    </row>
    <row r="8" spans="1:12" x14ac:dyDescent="0.2">
      <c r="B8" s="1"/>
      <c r="C8" s="1"/>
      <c r="D8" s="1"/>
      <c r="E8" s="1"/>
      <c r="F8" s="5">
        <f>+D33</f>
        <v>3322</v>
      </c>
      <c r="G8" s="1"/>
      <c r="H8" s="1"/>
      <c r="I8" s="1"/>
      <c r="J8" s="1"/>
      <c r="K8" s="1"/>
      <c r="L8" s="1"/>
    </row>
    <row r="9" spans="1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G11" s="1"/>
      <c r="H11" s="1"/>
      <c r="I11" s="1"/>
      <c r="J11" s="1"/>
      <c r="K11" s="1"/>
      <c r="L11" s="1"/>
    </row>
    <row r="12" spans="1:12" x14ac:dyDescent="0.2">
      <c r="B12" s="1"/>
      <c r="C12" s="1"/>
      <c r="D12" s="1"/>
      <c r="E12" s="1"/>
      <c r="F12" s="114"/>
      <c r="G12" s="1"/>
      <c r="H12" s="1"/>
      <c r="I12" s="1"/>
      <c r="J12" s="1"/>
      <c r="K12" s="1"/>
      <c r="L12" s="1"/>
    </row>
    <row r="13" spans="1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5">
        <f>+D34</f>
        <v>1866.2921348314605</v>
      </c>
      <c r="B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B16" s="1"/>
      <c r="C16" s="114"/>
      <c r="D16" s="1"/>
      <c r="E16" s="1"/>
      <c r="F16" s="1"/>
      <c r="G16" s="4"/>
      <c r="H16" s="1"/>
      <c r="I16" s="1"/>
      <c r="J16" s="1"/>
      <c r="K16" s="1"/>
      <c r="L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L17" s="40">
        <f>+D36</f>
        <v>2054.2921348314603</v>
      </c>
    </row>
    <row r="18" spans="2:13" ht="30" x14ac:dyDescent="0.2">
      <c r="B18" s="1"/>
      <c r="C18" s="1"/>
      <c r="D18" s="1"/>
      <c r="E18" s="1"/>
      <c r="F18" s="1"/>
      <c r="G18" s="429">
        <f>+D37</f>
        <v>3810.3451723608678</v>
      </c>
      <c r="H18" s="1"/>
      <c r="I18" s="1"/>
      <c r="J18" s="1"/>
      <c r="K18" s="3"/>
      <c r="L18" s="1"/>
    </row>
    <row r="19" spans="2:13" x14ac:dyDescent="0.2">
      <c r="B19" s="1"/>
      <c r="C19" s="1"/>
      <c r="D19" s="1"/>
      <c r="E19" s="1"/>
      <c r="F19" s="1"/>
      <c r="G19" s="90"/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62"/>
      <c r="G25" s="1"/>
      <c r="H25" s="1"/>
      <c r="I25" s="1"/>
      <c r="J25" s="1"/>
      <c r="K25" s="1"/>
      <c r="L25" s="1"/>
    </row>
    <row r="26" spans="2:13" x14ac:dyDescent="0.2"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1"/>
      <c r="C29" s="1"/>
      <c r="D29" s="1"/>
      <c r="E29" s="1"/>
      <c r="F29" s="171">
        <f>+D35</f>
        <v>3510</v>
      </c>
      <c r="G29" s="1"/>
      <c r="H29" s="1"/>
      <c r="I29" s="1"/>
      <c r="J29" s="1"/>
      <c r="K29" s="1"/>
      <c r="M29" s="40">
        <f>+D38</f>
        <v>176.96</v>
      </c>
    </row>
    <row r="30" spans="2:13" x14ac:dyDescent="0.2">
      <c r="B30" s="1"/>
      <c r="C30" s="1"/>
      <c r="D30" s="1"/>
      <c r="E30" s="1"/>
      <c r="F30" s="90"/>
      <c r="G30" s="1"/>
      <c r="H30" s="1"/>
      <c r="I30" s="1"/>
      <c r="J30" s="1"/>
      <c r="K30" s="1"/>
      <c r="L30" s="90"/>
    </row>
    <row r="31" spans="2:13" ht="16" thickBo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3" x14ac:dyDescent="0.2">
      <c r="B32" s="146"/>
      <c r="C32" s="147" t="s">
        <v>3</v>
      </c>
      <c r="D32" s="148" t="s">
        <v>4</v>
      </c>
      <c r="E32" s="149" t="s">
        <v>5</v>
      </c>
      <c r="F32" s="629" t="str">
        <f>IF(D34&lt;=2800,"Enlightor NEO","Enlightor NEO-W")</f>
        <v>Enlightor NEO</v>
      </c>
      <c r="G32" s="630"/>
      <c r="H32" s="149" t="s">
        <v>6</v>
      </c>
      <c r="I32" s="631">
        <f ca="1">NOW()</f>
        <v>46062.500802662034</v>
      </c>
      <c r="J32" s="631"/>
      <c r="K32" s="631"/>
      <c r="L32" s="632"/>
    </row>
    <row r="33" spans="2:12" ht="40" customHeight="1" x14ac:dyDescent="0.2">
      <c r="B33" s="150" t="s">
        <v>7</v>
      </c>
      <c r="C33" s="166">
        <f t="shared" ref="C33:C38" si="0">+D33/$F$38</f>
        <v>130.78740157480317</v>
      </c>
      <c r="D33" s="269">
        <v>3322</v>
      </c>
      <c r="E33" s="152" t="s">
        <v>8</v>
      </c>
      <c r="F33" s="587">
        <v>1.78</v>
      </c>
      <c r="G33" s="588"/>
      <c r="H33" s="153" t="s">
        <v>9</v>
      </c>
      <c r="I33" s="626"/>
      <c r="J33" s="626"/>
      <c r="K33" s="626"/>
      <c r="L33" s="627"/>
    </row>
    <row r="34" spans="2:12" ht="40" customHeight="1" x14ac:dyDescent="0.2">
      <c r="B34" s="10" t="s">
        <v>10</v>
      </c>
      <c r="C34" s="167">
        <f t="shared" si="0"/>
        <v>73.476068300451203</v>
      </c>
      <c r="D34" s="121">
        <f>+D33/F33</f>
        <v>1866.2921348314605</v>
      </c>
      <c r="E34" s="12" t="s">
        <v>11</v>
      </c>
      <c r="F34" s="617" t="s">
        <v>12</v>
      </c>
      <c r="G34" s="618"/>
      <c r="H34" s="12" t="s">
        <v>13</v>
      </c>
      <c r="I34" s="619"/>
      <c r="J34" s="620"/>
      <c r="K34" s="620"/>
      <c r="L34" s="621"/>
    </row>
    <row r="35" spans="2:12" ht="18" customHeight="1" x14ac:dyDescent="0.2">
      <c r="B35" s="10" t="s">
        <v>14</v>
      </c>
      <c r="C35" s="167">
        <f t="shared" si="0"/>
        <v>138.18897637795277</v>
      </c>
      <c r="D35" s="124">
        <f>+D33+(2*F37)</f>
        <v>3510</v>
      </c>
      <c r="E35" s="12" t="s">
        <v>15</v>
      </c>
      <c r="F35" s="158" t="s">
        <v>12</v>
      </c>
      <c r="G35" s="1" t="s">
        <v>16</v>
      </c>
      <c r="H35" s="1"/>
      <c r="I35" s="1"/>
      <c r="J35" s="1"/>
      <c r="K35" s="1"/>
      <c r="L35" s="15"/>
    </row>
    <row r="36" spans="2:12" ht="18" customHeight="1" x14ac:dyDescent="0.2">
      <c r="B36" s="10" t="s">
        <v>18</v>
      </c>
      <c r="C36" s="167">
        <f t="shared" si="0"/>
        <v>80.877643103600803</v>
      </c>
      <c r="D36" s="124">
        <f>+D34+(2*F37)</f>
        <v>2054.2921348314603</v>
      </c>
      <c r="E36" s="12" t="s">
        <v>19</v>
      </c>
      <c r="F36" s="159" t="s">
        <v>12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0" t="s">
        <v>21</v>
      </c>
      <c r="C37" s="167">
        <f t="shared" si="0"/>
        <v>150.01358946302631</v>
      </c>
      <c r="D37" s="124">
        <f>SQRT((D33^2)+(D34^2))</f>
        <v>3810.3451723608678</v>
      </c>
      <c r="E37" s="12" t="s">
        <v>22</v>
      </c>
      <c r="F37" s="128">
        <v>94</v>
      </c>
      <c r="G37" s="16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6.9669291338582688</v>
      </c>
      <c r="D38" s="172">
        <f>VLOOKUP(C33,C67:E80,2)</f>
        <v>176.96</v>
      </c>
      <c r="E38" s="18" t="s">
        <v>24</v>
      </c>
      <c r="F38" s="132">
        <v>25.4</v>
      </c>
      <c r="G38" s="19"/>
      <c r="H38" s="19"/>
      <c r="I38" s="19"/>
      <c r="J38" s="19"/>
      <c r="K38" s="575" t="s">
        <v>67</v>
      </c>
      <c r="L38" s="668"/>
    </row>
    <row r="39" spans="2:12" ht="18" customHeight="1" x14ac:dyDescent="0.2">
      <c r="B39" s="86"/>
      <c r="C39" s="90"/>
      <c r="D39" s="360"/>
      <c r="E39" s="86"/>
      <c r="F39" s="354"/>
      <c r="G39" s="1"/>
      <c r="H39" s="1"/>
      <c r="I39" s="1"/>
      <c r="J39" s="1"/>
      <c r="K39" s="1"/>
      <c r="L39"/>
    </row>
    <row r="40" spans="2:12" ht="18" customHeight="1" thickBot="1" x14ac:dyDescent="0.25">
      <c r="B40" s="86"/>
      <c r="C40" s="90"/>
      <c r="D40" s="360"/>
      <c r="E40" s="86"/>
      <c r="F40" s="354"/>
      <c r="G40" s="1"/>
      <c r="H40" s="1"/>
      <c r="I40" s="1"/>
      <c r="J40" s="1"/>
      <c r="K40" s="1"/>
      <c r="L40"/>
    </row>
    <row r="41" spans="2:12" ht="16" thickBot="1" x14ac:dyDescent="0.25">
      <c r="B41" s="205"/>
      <c r="C41" s="207"/>
      <c r="D41" s="207"/>
      <c r="E41" s="207"/>
      <c r="F41" s="207"/>
      <c r="G41" s="207"/>
      <c r="H41" s="207"/>
      <c r="I41" s="207"/>
      <c r="J41" s="207"/>
      <c r="K41" s="207"/>
      <c r="L41" s="208"/>
    </row>
    <row r="42" spans="2:12" ht="18" customHeight="1" thickBot="1" x14ac:dyDescent="0.25">
      <c r="B42" s="608" t="s">
        <v>303</v>
      </c>
      <c r="C42" s="1"/>
      <c r="D42" s="1"/>
      <c r="E42" s="1"/>
      <c r="F42" s="1"/>
      <c r="G42" s="1"/>
      <c r="H42" s="1"/>
      <c r="I42" s="1"/>
      <c r="J42" s="1"/>
      <c r="K42" s="1"/>
      <c r="L42" s="15"/>
    </row>
    <row r="43" spans="2:12" ht="18" customHeight="1" thickBot="1" x14ac:dyDescent="0.25">
      <c r="B43" s="609"/>
      <c r="C43" s="1" t="s">
        <v>177</v>
      </c>
      <c r="D43" s="83"/>
      <c r="E43" s="552" t="s">
        <v>231</v>
      </c>
      <c r="F43" s="1"/>
      <c r="G43" s="1"/>
      <c r="H43" s="1"/>
      <c r="I43" s="1"/>
      <c r="J43" s="1"/>
      <c r="K43" s="1"/>
      <c r="L43" s="15"/>
    </row>
    <row r="44" spans="2:12" ht="18" customHeight="1" thickBot="1" x14ac:dyDescent="0.25">
      <c r="B44" s="610"/>
      <c r="C44" s="1" t="s">
        <v>178</v>
      </c>
      <c r="D44" s="83"/>
      <c r="E44" s="552"/>
      <c r="F44" s="1"/>
      <c r="G44" s="1"/>
      <c r="H44" s="1"/>
      <c r="I44" s="1"/>
      <c r="J44" s="1"/>
      <c r="K44" s="1"/>
      <c r="L44" s="15"/>
    </row>
    <row r="45" spans="2:12" x14ac:dyDescent="0.2">
      <c r="B45" s="209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7" customHeight="1" thickBot="1" x14ac:dyDescent="0.25">
      <c r="B48" s="209"/>
      <c r="C48" s="54"/>
      <c r="D48" s="1"/>
      <c r="E48" s="1"/>
      <c r="F48" s="1"/>
      <c r="G48" s="1"/>
      <c r="H48" s="1"/>
      <c r="I48" s="1"/>
      <c r="J48" s="1"/>
      <c r="K48" s="1"/>
      <c r="L48" s="15"/>
    </row>
    <row r="49" spans="2:12" ht="21" customHeight="1" x14ac:dyDescent="0.2">
      <c r="B49" s="209"/>
      <c r="C49" s="432"/>
      <c r="D49" s="433"/>
      <c r="E49" s="433" t="s">
        <v>180</v>
      </c>
      <c r="F49" s="433"/>
      <c r="G49" s="433" t="s">
        <v>290</v>
      </c>
      <c r="H49" s="434" t="s">
        <v>291</v>
      </c>
      <c r="I49" s="1"/>
      <c r="J49" s="1"/>
      <c r="K49" s="1"/>
      <c r="L49" s="15"/>
    </row>
    <row r="50" spans="2:12" ht="16" customHeight="1" x14ac:dyDescent="0.2">
      <c r="B50" s="209"/>
      <c r="C50" s="435"/>
      <c r="D50" s="322" t="s">
        <v>27</v>
      </c>
      <c r="E50" s="322" t="s">
        <v>3</v>
      </c>
      <c r="F50" s="322" t="s">
        <v>4</v>
      </c>
      <c r="G50" s="322" t="s">
        <v>3</v>
      </c>
      <c r="H50" s="436" t="s">
        <v>4</v>
      </c>
      <c r="I50" s="1"/>
      <c r="J50" s="1"/>
      <c r="K50" s="1"/>
      <c r="L50" s="15"/>
    </row>
    <row r="51" spans="2:12" ht="16" customHeight="1" x14ac:dyDescent="0.2">
      <c r="B51" s="209"/>
      <c r="C51" s="435" t="s">
        <v>29</v>
      </c>
      <c r="D51" s="323" t="s">
        <v>30</v>
      </c>
      <c r="E51" s="144">
        <v>210</v>
      </c>
      <c r="F51" s="144">
        <f>E51*25.4</f>
        <v>5334</v>
      </c>
      <c r="G51" s="144">
        <v>120</v>
      </c>
      <c r="H51" s="437">
        <f>G51*25.4</f>
        <v>3048</v>
      </c>
      <c r="I51" s="669" t="s">
        <v>292</v>
      </c>
      <c r="J51" s="670"/>
      <c r="K51" s="670"/>
      <c r="L51" s="661"/>
    </row>
    <row r="52" spans="2:12" ht="17" customHeight="1" thickBot="1" x14ac:dyDescent="0.25">
      <c r="B52" s="209"/>
      <c r="C52" s="438" t="s">
        <v>31</v>
      </c>
      <c r="D52" s="439" t="s">
        <v>49</v>
      </c>
      <c r="E52" s="440">
        <v>210</v>
      </c>
      <c r="F52" s="440">
        <f>E52*25.4</f>
        <v>5334</v>
      </c>
      <c r="G52" s="440">
        <v>160</v>
      </c>
      <c r="H52" s="441">
        <f>G52*25.4</f>
        <v>4064</v>
      </c>
      <c r="I52" s="1" t="s">
        <v>293</v>
      </c>
      <c r="J52" s="1"/>
      <c r="K52" s="1"/>
      <c r="L52" s="15"/>
    </row>
    <row r="53" spans="2:12" ht="16" customHeight="1" x14ac:dyDescent="0.2">
      <c r="B53" s="209"/>
      <c r="C53" s="1"/>
      <c r="D53" s="1"/>
      <c r="E53" s="1"/>
      <c r="F53" s="1"/>
      <c r="G53" s="1"/>
      <c r="H53" s="1"/>
      <c r="L53" s="337"/>
    </row>
    <row r="54" spans="2:12" ht="16" customHeight="1" x14ac:dyDescent="0.2">
      <c r="B54" s="209"/>
      <c r="C54" s="50" t="s">
        <v>33</v>
      </c>
      <c r="D54" s="55"/>
      <c r="E54" s="55"/>
      <c r="F54" s="55"/>
      <c r="G54" s="55"/>
      <c r="H54" s="55"/>
      <c r="I54" s="55"/>
      <c r="J54" s="55"/>
      <c r="K54" s="55"/>
      <c r="L54" s="215"/>
    </row>
    <row r="55" spans="2:12" x14ac:dyDescent="0.2">
      <c r="B55" s="225"/>
      <c r="C55" s="1" t="s">
        <v>68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09"/>
      <c r="C56" s="1"/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09"/>
      <c r="C57" s="50" t="s">
        <v>36</v>
      </c>
      <c r="D57" s="55"/>
      <c r="E57" s="55"/>
      <c r="F57" s="55"/>
      <c r="G57" s="55" t="s">
        <v>37</v>
      </c>
      <c r="H57" s="55"/>
      <c r="I57" s="55"/>
      <c r="J57" s="55"/>
      <c r="K57" s="55"/>
      <c r="L57" s="215"/>
    </row>
    <row r="58" spans="2:12" ht="16" thickBot="1" x14ac:dyDescent="0.25">
      <c r="B58" s="225"/>
      <c r="G58" s="1"/>
      <c r="H58" s="1"/>
      <c r="I58" s="1"/>
      <c r="J58" s="1"/>
      <c r="K58" s="1"/>
      <c r="L58" s="15"/>
    </row>
    <row r="59" spans="2:12" x14ac:dyDescent="0.2">
      <c r="B59" s="209"/>
      <c r="C59" s="442" t="s">
        <v>38</v>
      </c>
      <c r="D59" s="443">
        <f>IF(C27&gt;199,2,1)</f>
        <v>1</v>
      </c>
      <c r="E59" s="433"/>
      <c r="F59" s="434"/>
      <c r="G59" s="1"/>
      <c r="H59" s="1"/>
      <c r="I59" s="1"/>
      <c r="J59" s="1"/>
      <c r="K59" s="1"/>
      <c r="L59" s="15"/>
    </row>
    <row r="60" spans="2:12" x14ac:dyDescent="0.2">
      <c r="B60" s="209"/>
      <c r="C60" s="444" t="s">
        <v>39</v>
      </c>
      <c r="D60" s="271">
        <f>IF(C33&gt;199, D36+350, D35/2+350)</f>
        <v>2105</v>
      </c>
      <c r="E60" s="143" t="s">
        <v>4</v>
      </c>
      <c r="F60" s="445" t="s">
        <v>40</v>
      </c>
      <c r="G60" s="1"/>
      <c r="H60" s="1"/>
      <c r="I60" s="1"/>
      <c r="J60" s="1"/>
      <c r="K60" s="1"/>
      <c r="L60" s="15"/>
    </row>
    <row r="61" spans="2:12" x14ac:dyDescent="0.2">
      <c r="B61" s="209"/>
      <c r="C61" s="444" t="s">
        <v>41</v>
      </c>
      <c r="D61" s="272">
        <v>250</v>
      </c>
      <c r="E61" s="143" t="s">
        <v>4</v>
      </c>
      <c r="F61" s="445" t="s">
        <v>40</v>
      </c>
      <c r="G61" s="1"/>
      <c r="H61" s="1"/>
      <c r="I61" s="1"/>
      <c r="J61" s="1"/>
      <c r="K61" s="1"/>
      <c r="L61" s="15"/>
    </row>
    <row r="62" spans="2:12" x14ac:dyDescent="0.2">
      <c r="B62" s="209"/>
      <c r="C62" s="444" t="s">
        <v>42</v>
      </c>
      <c r="D62" s="272">
        <v>350</v>
      </c>
      <c r="E62" s="143" t="s">
        <v>4</v>
      </c>
      <c r="F62" s="445" t="s">
        <v>40</v>
      </c>
      <c r="G62" s="1"/>
      <c r="H62" s="1"/>
      <c r="I62" s="1"/>
      <c r="J62" s="1"/>
      <c r="K62" s="1"/>
      <c r="L62" s="15"/>
    </row>
    <row r="63" spans="2:12" ht="16" thickBot="1" x14ac:dyDescent="0.25">
      <c r="B63" s="209"/>
      <c r="C63" s="446" t="s">
        <v>43</v>
      </c>
      <c r="D63" s="447">
        <f>IF(C33&lt;140,C33*0.3,C33*0.3)</f>
        <v>39.236220472440948</v>
      </c>
      <c r="E63" s="448" t="s">
        <v>44</v>
      </c>
      <c r="F63" s="449" t="s">
        <v>45</v>
      </c>
      <c r="G63" s="1"/>
      <c r="H63" s="1"/>
      <c r="I63" s="1"/>
      <c r="J63" s="1"/>
      <c r="K63" s="1"/>
      <c r="L63" s="15"/>
    </row>
    <row r="64" spans="2:12" ht="16" thickBot="1" x14ac:dyDescent="0.25">
      <c r="B64" s="217"/>
      <c r="C64" s="279"/>
      <c r="D64" s="19"/>
      <c r="E64" s="19"/>
      <c r="F64" s="19"/>
      <c r="G64" s="19"/>
      <c r="H64" s="19"/>
      <c r="I64" s="19"/>
      <c r="J64" s="19"/>
      <c r="K64" s="19"/>
      <c r="L64" s="28"/>
    </row>
    <row r="65" spans="3:12" hidden="1" x14ac:dyDescent="0.2">
      <c r="C65" s="667" t="s">
        <v>69</v>
      </c>
      <c r="D65" s="667"/>
      <c r="E65" s="667"/>
      <c r="F65" s="110"/>
      <c r="G65" s="110"/>
      <c r="H65" s="110"/>
      <c r="I65" s="110"/>
      <c r="J65" s="110"/>
      <c r="K65" s="110"/>
      <c r="L65" s="110"/>
    </row>
    <row r="66" spans="3:12" hidden="1" x14ac:dyDescent="0.2">
      <c r="C66" s="169" t="s">
        <v>70</v>
      </c>
      <c r="D66" s="169" t="s">
        <v>71</v>
      </c>
      <c r="E66" s="169" t="s">
        <v>72</v>
      </c>
    </row>
    <row r="67" spans="3:12" hidden="1" x14ac:dyDescent="0.2">
      <c r="C67" s="169">
        <v>70</v>
      </c>
      <c r="D67" s="170">
        <v>112.14</v>
      </c>
      <c r="E67" s="169">
        <v>13000</v>
      </c>
    </row>
    <row r="68" spans="3:12" hidden="1" x14ac:dyDescent="0.2">
      <c r="C68" s="169">
        <v>80</v>
      </c>
      <c r="D68" s="170">
        <v>122.3</v>
      </c>
      <c r="E68" s="169">
        <v>13000</v>
      </c>
    </row>
    <row r="69" spans="3:12" hidden="1" x14ac:dyDescent="0.2">
      <c r="C69" s="169">
        <v>90</v>
      </c>
      <c r="D69" s="170">
        <v>133.72</v>
      </c>
      <c r="E69" s="169">
        <v>13000</v>
      </c>
      <c r="J69" s="169"/>
      <c r="K69" s="170"/>
      <c r="L69" s="169"/>
    </row>
    <row r="70" spans="3:12" hidden="1" x14ac:dyDescent="0.2">
      <c r="C70" s="169">
        <v>100</v>
      </c>
      <c r="D70" s="170">
        <v>146.37</v>
      </c>
      <c r="E70" s="169">
        <v>13000</v>
      </c>
      <c r="J70" s="169"/>
      <c r="K70" s="170"/>
      <c r="L70" s="169"/>
    </row>
    <row r="71" spans="3:12" hidden="1" x14ac:dyDescent="0.2">
      <c r="C71" s="169">
        <v>110</v>
      </c>
      <c r="D71" s="170">
        <v>149.57</v>
      </c>
      <c r="E71" s="169">
        <v>15000</v>
      </c>
      <c r="J71" s="169"/>
      <c r="K71" s="170"/>
      <c r="L71" s="169"/>
    </row>
    <row r="72" spans="3:12" hidden="1" x14ac:dyDescent="0.2">
      <c r="C72" s="169">
        <v>120</v>
      </c>
      <c r="D72" s="170">
        <v>162.74</v>
      </c>
      <c r="E72" s="169">
        <v>15000</v>
      </c>
      <c r="J72" s="169"/>
      <c r="K72" s="170"/>
      <c r="L72" s="169"/>
    </row>
    <row r="73" spans="3:12" hidden="1" x14ac:dyDescent="0.2">
      <c r="C73" s="169">
        <v>130</v>
      </c>
      <c r="D73" s="170">
        <v>176.96</v>
      </c>
      <c r="E73" s="169">
        <v>15000</v>
      </c>
      <c r="J73" s="169"/>
      <c r="K73" s="170"/>
      <c r="L73" s="169"/>
    </row>
    <row r="74" spans="3:12" hidden="1" x14ac:dyDescent="0.2">
      <c r="C74" s="169">
        <v>140</v>
      </c>
      <c r="D74" s="170">
        <v>178.57</v>
      </c>
      <c r="E74" s="169">
        <v>17000</v>
      </c>
    </row>
    <row r="75" spans="3:12" hidden="1" x14ac:dyDescent="0.2">
      <c r="C75" s="169">
        <v>150</v>
      </c>
      <c r="D75" s="170">
        <v>193.02</v>
      </c>
      <c r="E75" s="169">
        <v>17000</v>
      </c>
    </row>
    <row r="76" spans="3:12" hidden="1" x14ac:dyDescent="0.2">
      <c r="C76" s="169">
        <v>160</v>
      </c>
      <c r="D76" s="170">
        <v>208.43</v>
      </c>
      <c r="E76" s="169">
        <v>17000</v>
      </c>
    </row>
    <row r="77" spans="3:12" hidden="1" x14ac:dyDescent="0.2">
      <c r="C77" s="169">
        <v>170</v>
      </c>
      <c r="D77" s="170">
        <v>208.97</v>
      </c>
      <c r="E77" s="169">
        <v>19000</v>
      </c>
    </row>
    <row r="78" spans="3:12" hidden="1" x14ac:dyDescent="0.2">
      <c r="C78" s="169">
        <v>180</v>
      </c>
      <c r="D78" s="170">
        <v>224.43</v>
      </c>
      <c r="E78" s="169">
        <v>19000</v>
      </c>
    </row>
    <row r="79" spans="3:12" hidden="1" x14ac:dyDescent="0.2">
      <c r="C79" s="169">
        <v>190</v>
      </c>
      <c r="D79" s="170">
        <v>235</v>
      </c>
      <c r="E79" s="169">
        <v>19000</v>
      </c>
    </row>
    <row r="80" spans="3:12" hidden="1" x14ac:dyDescent="0.2">
      <c r="C80" s="169">
        <v>200</v>
      </c>
      <c r="D80" s="170">
        <v>251</v>
      </c>
      <c r="E80" s="169">
        <v>19000</v>
      </c>
    </row>
  </sheetData>
  <sheetProtection algorithmName="SHA-512" hashValue="wF0sUbPy6+T3EgpyJAlhD4uKsEsa8mU5kF/4b0q2HQgIxjl7Na4ODqMHWH2Srz6V3OVchTXAPglGM7QPhs/nkw==" saltValue="4MT8T2wbU/kpngXUkrfAKg==" spinCount="100000" sheet="1" objects="1" scenarios="1"/>
  <mergeCells count="12">
    <mergeCell ref="C65:E65"/>
    <mergeCell ref="F34:G34"/>
    <mergeCell ref="I34:L34"/>
    <mergeCell ref="B2:L2"/>
    <mergeCell ref="B3:L3"/>
    <mergeCell ref="F32:G32"/>
    <mergeCell ref="I32:L32"/>
    <mergeCell ref="F33:G33"/>
    <mergeCell ref="I33:L33"/>
    <mergeCell ref="B42:B44"/>
    <mergeCell ref="K38:L38"/>
    <mergeCell ref="I51:L51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75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START</vt:lpstr>
      <vt:lpstr>Guide</vt:lpstr>
      <vt:lpstr>Diag.convert.</vt:lpstr>
      <vt:lpstr>Discovery</vt:lpstr>
      <vt:lpstr>FullScreen</vt:lpstr>
      <vt:lpstr>Slim</vt:lpstr>
      <vt:lpstr>Elegance</vt:lpstr>
      <vt:lpstr>Reference</vt:lpstr>
      <vt:lpstr>VistaCurve</vt:lpstr>
      <vt:lpstr>RTS</vt:lpstr>
      <vt:lpstr>RST XL</vt:lpstr>
      <vt:lpstr>RTS In Ceiling</vt:lpstr>
      <vt:lpstr>MediaTime</vt:lpstr>
      <vt:lpstr>MFR WS</vt:lpstr>
      <vt:lpstr>MFR HD</vt:lpstr>
      <vt:lpstr>MFR HD Reverse Mask</vt:lpstr>
      <vt:lpstr>TAM 1</vt:lpstr>
      <vt:lpstr>TAM TB</vt:lpstr>
      <vt:lpstr>TAM2-L</vt:lpstr>
      <vt:lpstr>TAM Art Edition</vt:lpstr>
      <vt:lpstr>TAM FC</vt:lpstr>
      <vt:lpstr>Absolute</vt:lpstr>
      <vt:lpstr>TAM-4</vt:lpstr>
      <vt:lpstr>Absolute!Print_Area</vt:lpstr>
      <vt:lpstr>Elegance!Print_Area</vt:lpstr>
      <vt:lpstr>FullScreen!Print_Area</vt:lpstr>
      <vt:lpstr>MediaTime!Print_Area</vt:lpstr>
      <vt:lpstr>'MFR HD'!Print_Area</vt:lpstr>
      <vt:lpstr>'MFR HD Reverse Mask'!Print_Area</vt:lpstr>
      <vt:lpstr>Reference!Print_Area</vt:lpstr>
      <vt:lpstr>'RST XL'!Print_Area</vt:lpstr>
      <vt:lpstr>RTS!Print_Area</vt:lpstr>
      <vt:lpstr>'RTS In Ceiling'!Print_Area</vt:lpstr>
      <vt:lpstr>Slim!Print_Area</vt:lpstr>
      <vt:lpstr>'TAM 1'!Print_Area</vt:lpstr>
      <vt:lpstr>'TAM Art Edition'!Print_Area</vt:lpstr>
      <vt:lpstr>'TAM FC'!Print_Area</vt:lpstr>
      <vt:lpstr>'TAM TB'!Print_Area</vt:lpstr>
      <vt:lpstr>'TAM-4'!Print_Area</vt:lpstr>
      <vt:lpstr>'TAM2-L'!Print_Area</vt:lpstr>
      <vt:lpstr>VistaCurve!Print_Area</vt:lpstr>
    </vt:vector>
  </TitlesOfParts>
  <Manager/>
  <Company>Screen Excellence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McLain</dc:creator>
  <cp:keywords/>
  <dc:description/>
  <cp:lastModifiedBy>Patrice Congard</cp:lastModifiedBy>
  <cp:revision/>
  <cp:lastPrinted>2026-01-29T11:00:47Z</cp:lastPrinted>
  <dcterms:created xsi:type="dcterms:W3CDTF">2014-06-20T15:51:12Z</dcterms:created>
  <dcterms:modified xsi:type="dcterms:W3CDTF">2026-02-09T11:01:21Z</dcterms:modified>
  <cp:category/>
  <cp:contentStatus/>
</cp:coreProperties>
</file>